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 firstSheet="1" activeTab="1"/>
  </bookViews>
  <sheets>
    <sheet name="Staffing Worksheet" sheetId="1" r:id="rId1"/>
    <sheet name="Staffing Worksheet Formulas" sheetId="3" r:id="rId2"/>
    <sheet name="Budget Worksheet" sheetId="2" r:id="rId3"/>
    <sheet name="Budget Worksheet Forumula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H25" i="4"/>
  <c r="J24" i="4"/>
  <c r="K24" i="4"/>
  <c r="M24" i="4"/>
  <c r="I24" i="4"/>
  <c r="H24" i="4"/>
  <c r="G24" i="4"/>
  <c r="F24" i="4"/>
  <c r="J23" i="4"/>
  <c r="K23" i="4"/>
  <c r="M23" i="4"/>
  <c r="I23" i="4"/>
  <c r="H23" i="4"/>
  <c r="K22" i="4"/>
  <c r="M22" i="4"/>
  <c r="J22" i="4"/>
  <c r="I22" i="4"/>
  <c r="H22" i="4"/>
  <c r="G22" i="4"/>
  <c r="G25" i="4"/>
  <c r="F22" i="4"/>
  <c r="J21" i="4"/>
  <c r="K21" i="4"/>
  <c r="M21" i="4"/>
  <c r="I21" i="4"/>
  <c r="H21" i="4"/>
  <c r="G21" i="4"/>
  <c r="F21" i="4"/>
  <c r="J20" i="4"/>
  <c r="J25" i="4"/>
  <c r="I20" i="4"/>
  <c r="I25" i="4"/>
  <c r="H20" i="4"/>
  <c r="G20" i="4"/>
  <c r="F20" i="4"/>
  <c r="F25" i="4"/>
  <c r="I17" i="4"/>
  <c r="H17" i="4"/>
  <c r="J16" i="4"/>
  <c r="K16" i="4"/>
  <c r="M16" i="4"/>
  <c r="I16" i="4"/>
  <c r="H16" i="4"/>
  <c r="G16" i="4"/>
  <c r="M15" i="4"/>
  <c r="K15" i="4"/>
  <c r="J15" i="4"/>
  <c r="I15" i="4"/>
  <c r="H15" i="4"/>
  <c r="G15" i="4"/>
  <c r="J14" i="4"/>
  <c r="J17" i="4"/>
  <c r="K17" i="4"/>
  <c r="M17" i="4"/>
  <c r="I14" i="4"/>
  <c r="G14" i="4"/>
  <c r="J13" i="4"/>
  <c r="K13" i="4"/>
  <c r="M13" i="4"/>
  <c r="I13" i="4"/>
  <c r="H13" i="4"/>
  <c r="G13" i="4"/>
  <c r="J12" i="4"/>
  <c r="K12" i="4"/>
  <c r="M12" i="4"/>
  <c r="I12" i="4"/>
  <c r="G12" i="4"/>
  <c r="J10" i="4"/>
  <c r="K10" i="4"/>
  <c r="M10" i="4"/>
  <c r="I10" i="4"/>
  <c r="H10" i="4"/>
  <c r="G10" i="4"/>
  <c r="K14" i="4"/>
  <c r="M14" i="4"/>
  <c r="K20" i="4"/>
  <c r="M21" i="2"/>
  <c r="Q20" i="2"/>
  <c r="P20" i="2"/>
  <c r="O20" i="2"/>
  <c r="N20" i="2"/>
  <c r="M20" i="2"/>
  <c r="Q19" i="2"/>
  <c r="P19" i="2"/>
  <c r="O19" i="2"/>
  <c r="Q18" i="2"/>
  <c r="Q21" i="2"/>
  <c r="P18" i="2"/>
  <c r="O18" i="2"/>
  <c r="N18" i="2"/>
  <c r="M18" i="2"/>
  <c r="Q17" i="2"/>
  <c r="P17" i="2"/>
  <c r="O17" i="2"/>
  <c r="N17" i="2"/>
  <c r="M17" i="2"/>
  <c r="Q16" i="2"/>
  <c r="P16" i="2"/>
  <c r="P21" i="2"/>
  <c r="O16" i="2"/>
  <c r="O21" i="2"/>
  <c r="N16" i="2"/>
  <c r="N21" i="2"/>
  <c r="M16" i="2"/>
  <c r="Q12" i="2"/>
  <c r="P12" i="2"/>
  <c r="O12" i="2"/>
  <c r="N12" i="2"/>
  <c r="Q11" i="2"/>
  <c r="P11" i="2"/>
  <c r="O11" i="2"/>
  <c r="N11" i="2"/>
  <c r="Q10" i="2"/>
  <c r="P10" i="2"/>
  <c r="N10" i="2"/>
  <c r="N13" i="2"/>
  <c r="Q9" i="2"/>
  <c r="P9" i="2"/>
  <c r="O9" i="2"/>
  <c r="O13" i="2"/>
  <c r="N9" i="2"/>
  <c r="Q8" i="2"/>
  <c r="Q13" i="2"/>
  <c r="P8" i="2"/>
  <c r="P13" i="2"/>
  <c r="N8" i="2"/>
  <c r="Q6" i="2"/>
  <c r="P6" i="2"/>
  <c r="R6" i="2"/>
  <c r="T6" i="2"/>
  <c r="O6" i="2"/>
  <c r="N6" i="2"/>
  <c r="F20" i="2"/>
  <c r="G20" i="2"/>
  <c r="I20" i="2"/>
  <c r="E20" i="2"/>
  <c r="D20" i="2"/>
  <c r="C20" i="2"/>
  <c r="B20" i="2"/>
  <c r="F19" i="2"/>
  <c r="G19" i="2"/>
  <c r="I19" i="2"/>
  <c r="E19" i="2"/>
  <c r="D19" i="2"/>
  <c r="F18" i="2"/>
  <c r="E18" i="2"/>
  <c r="D18" i="2"/>
  <c r="C18" i="2"/>
  <c r="B18" i="2"/>
  <c r="G17" i="2"/>
  <c r="I17" i="2"/>
  <c r="F17" i="2"/>
  <c r="E17" i="2"/>
  <c r="D17" i="2"/>
  <c r="C17" i="2"/>
  <c r="B17" i="2"/>
  <c r="F16" i="2"/>
  <c r="F21" i="2"/>
  <c r="E16" i="2"/>
  <c r="D16" i="2"/>
  <c r="C16" i="2"/>
  <c r="C21" i="2"/>
  <c r="B16" i="2"/>
  <c r="F12" i="2"/>
  <c r="G12" i="2"/>
  <c r="I12" i="2"/>
  <c r="E12" i="2"/>
  <c r="D12" i="2"/>
  <c r="C12" i="2"/>
  <c r="F11" i="2"/>
  <c r="G11" i="2"/>
  <c r="I11" i="2"/>
  <c r="E11" i="2"/>
  <c r="D11" i="2"/>
  <c r="C11" i="2"/>
  <c r="F10" i="2"/>
  <c r="G10" i="2"/>
  <c r="I10" i="2"/>
  <c r="E10" i="2"/>
  <c r="C10" i="2"/>
  <c r="F9" i="2"/>
  <c r="G9" i="2"/>
  <c r="I9" i="2"/>
  <c r="E9" i="2"/>
  <c r="D9" i="2"/>
  <c r="C9" i="2"/>
  <c r="F8" i="2"/>
  <c r="E8" i="2"/>
  <c r="C8" i="2"/>
  <c r="C13" i="2"/>
  <c r="F6" i="2"/>
  <c r="G6" i="2"/>
  <c r="I6" i="2"/>
  <c r="E6" i="2"/>
  <c r="D6" i="2"/>
  <c r="C6" i="2"/>
  <c r="K25" i="4"/>
  <c r="M25" i="4"/>
  <c r="M20" i="4"/>
  <c r="F13" i="2"/>
  <c r="G13" i="2"/>
  <c r="I13" i="2"/>
  <c r="D13" i="2"/>
  <c r="B21" i="2"/>
  <c r="E13" i="2"/>
  <c r="E21" i="2"/>
  <c r="D21" i="2"/>
  <c r="G16" i="2"/>
  <c r="I16" i="2"/>
  <c r="G8" i="2"/>
  <c r="I8" i="2"/>
  <c r="G18" i="2"/>
  <c r="G21" i="2"/>
  <c r="I21" i="2"/>
  <c r="I18" i="2"/>
  <c r="B40" i="1"/>
  <c r="B41" i="1"/>
  <c r="B44" i="1"/>
  <c r="D39" i="1"/>
  <c r="B39" i="1"/>
  <c r="D38" i="1"/>
  <c r="D41" i="1"/>
  <c r="B38" i="1"/>
  <c r="D37" i="1"/>
  <c r="B37" i="1"/>
  <c r="D36" i="1"/>
  <c r="B36" i="1"/>
  <c r="D32" i="1"/>
  <c r="B32" i="1"/>
  <c r="E33" i="1"/>
  <c r="H31" i="1"/>
  <c r="G31" i="1"/>
  <c r="C31" i="1"/>
  <c r="H30" i="1"/>
  <c r="G30" i="1"/>
  <c r="I30" i="1"/>
  <c r="C30" i="1"/>
  <c r="H29" i="1"/>
  <c r="J29" i="1"/>
  <c r="G29" i="1"/>
  <c r="I29" i="1"/>
  <c r="C29" i="1"/>
  <c r="H28" i="1"/>
  <c r="J28" i="1"/>
  <c r="G28" i="1"/>
  <c r="I28" i="1"/>
  <c r="C28" i="1"/>
  <c r="H27" i="1"/>
  <c r="J27" i="1"/>
  <c r="G27" i="1"/>
  <c r="I27" i="1"/>
  <c r="C27" i="1"/>
  <c r="H26" i="1"/>
  <c r="G26" i="1"/>
  <c r="I26" i="1"/>
  <c r="C26" i="1"/>
  <c r="H25" i="1"/>
  <c r="J25" i="1"/>
  <c r="G25" i="1"/>
  <c r="I25" i="1"/>
  <c r="C25" i="1"/>
  <c r="H24" i="1"/>
  <c r="J24" i="1"/>
  <c r="G24" i="1"/>
  <c r="I24" i="1"/>
  <c r="C24" i="1"/>
  <c r="H23" i="1"/>
  <c r="G23" i="1"/>
  <c r="I23" i="1"/>
  <c r="C23" i="1"/>
  <c r="H22" i="1"/>
  <c r="G22" i="1"/>
  <c r="I22" i="1"/>
  <c r="C22" i="1"/>
  <c r="H21" i="1"/>
  <c r="J21" i="1"/>
  <c r="G21" i="1"/>
  <c r="I21" i="1"/>
  <c r="C21" i="1"/>
  <c r="H20" i="1"/>
  <c r="J20" i="1"/>
  <c r="G20" i="1"/>
  <c r="I20" i="1"/>
  <c r="C20" i="1"/>
  <c r="H19" i="1"/>
  <c r="J19" i="1"/>
  <c r="G19" i="1"/>
  <c r="I19" i="1"/>
  <c r="C19" i="1"/>
  <c r="H18" i="1"/>
  <c r="G18" i="1"/>
  <c r="I18" i="1"/>
  <c r="C18" i="1"/>
  <c r="H17" i="1"/>
  <c r="J17" i="1"/>
  <c r="G17" i="1"/>
  <c r="I17" i="1"/>
  <c r="C17" i="1"/>
  <c r="H16" i="1"/>
  <c r="G16" i="1"/>
  <c r="C16" i="1"/>
  <c r="H15" i="1"/>
  <c r="J15" i="1"/>
  <c r="G15" i="1"/>
  <c r="I15" i="1"/>
  <c r="C15" i="1"/>
  <c r="H14" i="1"/>
  <c r="J14" i="1"/>
  <c r="G14" i="1"/>
  <c r="I14" i="1"/>
  <c r="C14" i="1"/>
  <c r="H13" i="1"/>
  <c r="J13" i="1"/>
  <c r="G13" i="1"/>
  <c r="I13" i="1"/>
  <c r="C13" i="1"/>
  <c r="H12" i="1"/>
  <c r="G12" i="1"/>
  <c r="I12" i="1"/>
  <c r="C12" i="1"/>
  <c r="H11" i="1"/>
  <c r="J11" i="1"/>
  <c r="G11" i="1"/>
  <c r="I11" i="1"/>
  <c r="C11" i="1"/>
  <c r="I10" i="1"/>
  <c r="H10" i="1"/>
  <c r="J10" i="1"/>
  <c r="C10" i="1"/>
  <c r="H9" i="1"/>
  <c r="G9" i="1"/>
  <c r="I9" i="1"/>
  <c r="C9" i="1"/>
  <c r="H8" i="1"/>
  <c r="J8" i="1"/>
  <c r="G8" i="1"/>
  <c r="I8" i="1"/>
  <c r="C8" i="1"/>
  <c r="H7" i="1"/>
  <c r="J7" i="1"/>
  <c r="G7" i="1"/>
  <c r="I7" i="1"/>
  <c r="C7" i="1"/>
  <c r="I6" i="1"/>
  <c r="H6" i="1"/>
  <c r="J6" i="1"/>
  <c r="C6" i="1"/>
  <c r="C40" i="1"/>
  <c r="C41" i="1"/>
  <c r="H5" i="1"/>
  <c r="J5" i="1"/>
  <c r="G5" i="1"/>
  <c r="I5" i="1"/>
  <c r="C5" i="1"/>
  <c r="H4" i="1"/>
  <c r="G4" i="1"/>
  <c r="C4" i="1"/>
  <c r="H38" i="1"/>
  <c r="H41" i="1"/>
  <c r="J4" i="1"/>
  <c r="C36" i="1"/>
  <c r="G38" i="1"/>
  <c r="G41" i="1"/>
  <c r="G42" i="1"/>
  <c r="D43" i="1"/>
  <c r="D42" i="1"/>
  <c r="D44" i="1"/>
  <c r="C44" i="1"/>
  <c r="C43" i="1"/>
  <c r="C42" i="1"/>
  <c r="E25" i="1"/>
  <c r="E17" i="1"/>
  <c r="E11" i="1"/>
  <c r="E5" i="1"/>
  <c r="E26" i="1"/>
  <c r="E18" i="1"/>
  <c r="E12" i="1"/>
  <c r="E6" i="1"/>
  <c r="E24" i="1"/>
  <c r="E27" i="1"/>
  <c r="E19" i="1"/>
  <c r="E13" i="1"/>
  <c r="E28" i="1"/>
  <c r="E20" i="1"/>
  <c r="E14" i="1"/>
  <c r="E7" i="1"/>
  <c r="E29" i="1"/>
  <c r="E21" i="1"/>
  <c r="E15" i="1"/>
  <c r="E8" i="1"/>
  <c r="E4" i="1"/>
  <c r="E30" i="1"/>
  <c r="E22" i="1"/>
  <c r="E16" i="1"/>
  <c r="E9" i="1"/>
  <c r="E31" i="1"/>
  <c r="E23" i="1"/>
  <c r="E10" i="1"/>
  <c r="G32" i="1"/>
  <c r="H32" i="1"/>
  <c r="C37" i="1"/>
  <c r="H39" i="1"/>
  <c r="G39" i="1"/>
  <c r="J12" i="1"/>
  <c r="J18" i="1"/>
  <c r="J26" i="1"/>
  <c r="G36" i="1"/>
  <c r="B42" i="1"/>
  <c r="I4" i="1"/>
  <c r="H36" i="1"/>
  <c r="C38" i="1"/>
  <c r="G37" i="1"/>
  <c r="B43" i="1"/>
  <c r="J23" i="1"/>
  <c r="H37" i="1"/>
  <c r="C39" i="1"/>
  <c r="J9" i="1"/>
  <c r="J22" i="1"/>
  <c r="J30" i="1"/>
  <c r="C32" i="1"/>
  <c r="J32" i="1"/>
  <c r="G43" i="1"/>
  <c r="J39" i="1"/>
  <c r="G44" i="1"/>
  <c r="J36" i="1"/>
  <c r="E39" i="1"/>
  <c r="E38" i="1"/>
  <c r="E41" i="1"/>
  <c r="E37" i="1"/>
  <c r="E36" i="1"/>
  <c r="I37" i="1"/>
  <c r="I36" i="1"/>
  <c r="I38" i="1"/>
  <c r="I41" i="1"/>
  <c r="I39" i="1"/>
  <c r="I32" i="1"/>
  <c r="J38" i="1"/>
  <c r="J41" i="1"/>
  <c r="J37" i="1"/>
  <c r="H42" i="1"/>
  <c r="H44" i="1"/>
  <c r="H43" i="1"/>
  <c r="I44" i="1"/>
  <c r="I42" i="1"/>
  <c r="I43" i="1"/>
  <c r="J44" i="1"/>
  <c r="J43" i="1"/>
  <c r="J42" i="1"/>
  <c r="E43" i="1"/>
  <c r="E42" i="1"/>
  <c r="E44" i="1"/>
</calcChain>
</file>

<file path=xl/comments1.xml><?xml version="1.0" encoding="utf-8"?>
<comments xmlns="http://schemas.openxmlformats.org/spreadsheetml/2006/main">
  <authors>
    <author>Staff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Added 223,300 to Svcs &amp; Supplies to get amount to match Total Expenditure exhibit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Added 223,300 to Svcs &amp; Supplies to get amount to match Total Expenditure exhibit</t>
        </r>
      </text>
    </comment>
  </commentList>
</comments>
</file>

<file path=xl/comments2.xml><?xml version="1.0" encoding="utf-8"?>
<comments xmlns="http://schemas.openxmlformats.org/spreadsheetml/2006/main">
  <authors>
    <author>Staff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Added 223,300 to Svcs &amp; Supplies to get amount to match Total Expenditure exhibit</t>
        </r>
      </text>
    </comment>
  </commentList>
</comments>
</file>

<file path=xl/sharedStrings.xml><?xml version="1.0" encoding="utf-8"?>
<sst xmlns="http://schemas.openxmlformats.org/spreadsheetml/2006/main" count="196" uniqueCount="80">
  <si>
    <t>Table 1.</t>
  </si>
  <si>
    <t>Usage Output Measures by Location</t>
  </si>
  <si>
    <t>LSA LTA Detail</t>
  </si>
  <si>
    <t>LSA/LTA and Circ</t>
  </si>
  <si>
    <t>Library Name</t>
  </si>
  <si>
    <t>Square Feet</t>
  </si>
  <si>
    <t>Visits</t>
  </si>
  <si>
    <t>Circulation</t>
  </si>
  <si>
    <t>WIFI Sessions by Square Feet</t>
  </si>
  <si>
    <t># LSA/LTA</t>
  </si>
  <si>
    <t xml:space="preserve">LSA/LTA Hours </t>
  </si>
  <si>
    <t>Circ per LSA/LTA</t>
  </si>
  <si>
    <t>Circ per LSA/LTA Hour</t>
  </si>
  <si>
    <t>HR List 03/2015</t>
  </si>
  <si>
    <t>Total</t>
  </si>
  <si>
    <t>MIN</t>
  </si>
  <si>
    <t>AVG</t>
  </si>
  <si>
    <t>MAX</t>
  </si>
  <si>
    <t>Median</t>
  </si>
  <si>
    <t>Max excl CEN</t>
  </si>
  <si>
    <t>n/a</t>
  </si>
  <si>
    <t>Quartile 1 cap</t>
  </si>
  <si>
    <t>Quartile 2 cap</t>
  </si>
  <si>
    <t>Quartile 3 cap</t>
  </si>
  <si>
    <t>Quartile 4 cap</t>
  </si>
  <si>
    <t>TEST FORMULAS TABLE</t>
  </si>
  <si>
    <t>SACRAMENTO PUBLIC LIBRARY AUTHORITY
BUDGET SUMMARY
FISCAL YEAR 2015-16</t>
  </si>
  <si>
    <t>FY 14-15
 APPROVED
BUDGET (MAY)</t>
  </si>
  <si>
    <t>FY 14-15 AMENDED BUDGET</t>
  </si>
  <si>
    <t>FY 15-16
 APPROVED
BUDGET (MAY)</t>
  </si>
  <si>
    <t>FY 15-16    FINAL      BUDGET</t>
  </si>
  <si>
    <t>CHANGE Increase/(Decrease)</t>
  </si>
  <si>
    <t>Total Sources of Funds</t>
  </si>
  <si>
    <t>Salaries and Benefits</t>
  </si>
  <si>
    <t>Services and Supplies</t>
  </si>
  <si>
    <t>Materials/Books</t>
  </si>
  <si>
    <t>Equipment/Capital Projects</t>
  </si>
  <si>
    <t>Deferred Maintenance</t>
  </si>
  <si>
    <t>Total Expenses</t>
  </si>
  <si>
    <t>Surplus/(Deficit)</t>
  </si>
  <si>
    <t>County/Cities Fund</t>
  </si>
  <si>
    <t>Sac City Fund</t>
  </si>
  <si>
    <t>Sac City Parcel Tax Measure X</t>
  </si>
  <si>
    <t>Sac City Parcel Tax Measure B</t>
  </si>
  <si>
    <t>400s Fund</t>
  </si>
  <si>
    <t>Net Surplus/(Deficit)</t>
  </si>
  <si>
    <t>Note: FY 15-16 Final Budget includes use of $809,035 from Fund Balance reserves, primarily for one-time</t>
  </si>
  <si>
    <t>expenditures.</t>
  </si>
  <si>
    <t>TEST BUDGET WORKSHEET FORMULAS
BUDGET SUMMARY
FISCAL YEAR 2015-16</t>
  </si>
  <si>
    <t>Note: FY 15-16 Final Budget includes use of $________________ from Fund Balance reserves, primarily for one-time expenditures</t>
  </si>
  <si>
    <t>LSA/LTA Hours</t>
  </si>
  <si>
    <r>
      <t>Note: FY 15-16 Final Budget includes use of $_[</t>
    </r>
    <r>
      <rPr>
        <b/>
        <sz val="10"/>
        <color rgb="FFFF0000"/>
        <rFont val="Verdana"/>
        <family val="2"/>
      </rPr>
      <t>INSERT SURPLUS/(DEFICIT) FIGURE HERE</t>
    </r>
    <r>
      <rPr>
        <sz val="10"/>
        <rFont val="Verdana"/>
        <family val="2"/>
      </rPr>
      <t>]_____________ from Fund Balance reserves, primarily for one-time</t>
    </r>
  </si>
  <si>
    <t>A1</t>
  </si>
  <si>
    <t>A2</t>
  </si>
  <si>
    <t>C1</t>
  </si>
  <si>
    <t>C2</t>
  </si>
  <si>
    <t>C3</t>
  </si>
  <si>
    <t>C4</t>
  </si>
  <si>
    <t>C5</t>
  </si>
  <si>
    <t>D1</t>
  </si>
  <si>
    <t>E1</t>
  </si>
  <si>
    <t>F1</t>
  </si>
  <si>
    <t>F2</t>
  </si>
  <si>
    <t>G1</t>
  </si>
  <si>
    <t>I1</t>
  </si>
  <si>
    <t>M1</t>
  </si>
  <si>
    <t>M2</t>
  </si>
  <si>
    <t>M3</t>
  </si>
  <si>
    <t>N1</t>
  </si>
  <si>
    <t>N2</t>
  </si>
  <si>
    <t>N3</t>
  </si>
  <si>
    <t>O1</t>
  </si>
  <si>
    <t>P1</t>
  </si>
  <si>
    <t>R1</t>
  </si>
  <si>
    <t>R2</t>
  </si>
  <si>
    <t>S1</t>
  </si>
  <si>
    <t>S2</t>
  </si>
  <si>
    <t>S3</t>
  </si>
  <si>
    <t>V1</t>
  </si>
  <si>
    <t>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</si>
</sst>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1"/>
      <name val="Palatino Linotype"/>
      <family val="1"/>
    </font>
    <font>
      <sz val="11"/>
      <name val="Palatino Linotyp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3" fontId="8" fillId="0" borderId="4" xfId="0" applyNumberFormat="1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6" fillId="0" borderId="4" xfId="0" applyNumberFormat="1" applyFont="1" applyFill="1" applyBorder="1" applyAlignment="1">
      <alignment horizontal="left" wrapText="1"/>
    </xf>
    <xf numFmtId="2" fontId="0" fillId="0" borderId="4" xfId="0" applyNumberFormat="1" applyBorder="1" applyAlignment="1">
      <alignment horizontal="center"/>
    </xf>
    <xf numFmtId="165" fontId="0" fillId="0" borderId="4" xfId="0" applyNumberFormat="1" applyBorder="1"/>
    <xf numFmtId="0" fontId="0" fillId="2" borderId="4" xfId="0" applyFill="1" applyBorder="1" applyProtection="1"/>
    <xf numFmtId="3" fontId="0" fillId="0" borderId="4" xfId="0" applyNumberFormat="1" applyBorder="1" applyAlignment="1" applyProtection="1">
      <alignment horizontal="center"/>
    </xf>
    <xf numFmtId="3" fontId="9" fillId="0" borderId="4" xfId="0" applyNumberFormat="1" applyFont="1" applyBorder="1" applyAlignment="1">
      <alignment horizontal="center"/>
    </xf>
    <xf numFmtId="0" fontId="0" fillId="0" borderId="4" xfId="0" applyBorder="1" applyProtection="1"/>
    <xf numFmtId="0" fontId="9" fillId="0" borderId="4" xfId="0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left" wrapText="1"/>
    </xf>
    <xf numFmtId="3" fontId="6" fillId="2" borderId="4" xfId="0" applyNumberFormat="1" applyFon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0" fillId="0" borderId="4" xfId="0" applyNumberFormat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/>
    <xf numFmtId="0" fontId="10" fillId="0" borderId="0" xfId="0" applyFont="1"/>
    <xf numFmtId="166" fontId="10" fillId="0" borderId="5" xfId="0" applyNumberFormat="1" applyFont="1" applyBorder="1"/>
    <xf numFmtId="0" fontId="10" fillId="0" borderId="5" xfId="0" applyFont="1" applyBorder="1"/>
    <xf numFmtId="167" fontId="10" fillId="0" borderId="5" xfId="0" applyNumberFormat="1" applyFont="1" applyBorder="1"/>
    <xf numFmtId="168" fontId="11" fillId="0" borderId="0" xfId="1" applyNumberFormat="1" applyFont="1"/>
    <xf numFmtId="167" fontId="11" fillId="0" borderId="0" xfId="0" applyNumberFormat="1" applyFont="1"/>
    <xf numFmtId="0" fontId="10" fillId="3" borderId="0" xfId="0" applyFont="1" applyFill="1"/>
    <xf numFmtId="166" fontId="10" fillId="3" borderId="5" xfId="0" applyNumberFormat="1" applyFont="1" applyFill="1" applyBorder="1"/>
    <xf numFmtId="0" fontId="10" fillId="3" borderId="5" xfId="0" applyFont="1" applyFill="1" applyBorder="1"/>
    <xf numFmtId="167" fontId="10" fillId="3" borderId="5" xfId="0" applyNumberFormat="1" applyFont="1" applyFill="1" applyBorder="1"/>
    <xf numFmtId="0" fontId="12" fillId="0" borderId="0" xfId="0" applyFont="1"/>
    <xf numFmtId="0" fontId="13" fillId="0" borderId="0" xfId="0" applyFont="1"/>
    <xf numFmtId="5" fontId="13" fillId="0" borderId="0" xfId="0" applyNumberFormat="1" applyFont="1"/>
    <xf numFmtId="166" fontId="10" fillId="0" borderId="0" xfId="0" applyNumberFormat="1" applyFont="1" applyFill="1" applyBorder="1"/>
    <xf numFmtId="0" fontId="11" fillId="0" borderId="0" xfId="0" applyFont="1" applyFill="1" applyBorder="1"/>
    <xf numFmtId="167" fontId="10" fillId="0" borderId="0" xfId="0" applyNumberFormat="1" applyFont="1" applyFill="1" applyBorder="1"/>
    <xf numFmtId="167" fontId="13" fillId="0" borderId="0" xfId="0" applyNumberFormat="1" applyFont="1"/>
    <xf numFmtId="168" fontId="10" fillId="3" borderId="0" xfId="1" applyNumberFormat="1" applyFont="1" applyFill="1"/>
    <xf numFmtId="166" fontId="10" fillId="3" borderId="0" xfId="2" applyNumberFormat="1" applyFont="1" applyFill="1"/>
    <xf numFmtId="167" fontId="10" fillId="3" borderId="0" xfId="0" applyNumberFormat="1" applyFont="1" applyFill="1"/>
    <xf numFmtId="0" fontId="11" fillId="4" borderId="0" xfId="0" applyFont="1" applyFill="1"/>
    <xf numFmtId="166" fontId="10" fillId="4" borderId="5" xfId="0" applyNumberFormat="1" applyFont="1" applyFill="1" applyBorder="1"/>
    <xf numFmtId="0" fontId="10" fillId="4" borderId="5" xfId="0" applyFont="1" applyFill="1" applyBorder="1"/>
    <xf numFmtId="167" fontId="10" fillId="4" borderId="5" xfId="0" applyNumberFormat="1" applyFont="1" applyFill="1" applyBorder="1"/>
    <xf numFmtId="168" fontId="11" fillId="4" borderId="0" xfId="1" applyNumberFormat="1" applyFont="1" applyFill="1"/>
    <xf numFmtId="167" fontId="11" fillId="4" borderId="0" xfId="0" applyNumberFormat="1" applyFont="1" applyFill="1"/>
    <xf numFmtId="5" fontId="13" fillId="4" borderId="0" xfId="0" applyNumberFormat="1" applyFont="1" applyFill="1"/>
    <xf numFmtId="0" fontId="13" fillId="4" borderId="0" xfId="0" applyFont="1" applyFill="1"/>
    <xf numFmtId="0" fontId="11" fillId="4" borderId="0" xfId="0" applyFont="1" applyFill="1" applyBorder="1"/>
    <xf numFmtId="167" fontId="10" fillId="4" borderId="0" xfId="0" applyNumberFormat="1" applyFont="1" applyFill="1" applyBorder="1"/>
    <xf numFmtId="167" fontId="13" fillId="4" borderId="0" xfId="0" applyNumberFormat="1" applyFont="1" applyFill="1"/>
    <xf numFmtId="166" fontId="10" fillId="4" borderId="0" xfId="2" applyNumberFormat="1" applyFont="1" applyFill="1"/>
    <xf numFmtId="167" fontId="10" fillId="4" borderId="0" xfId="0" applyNumberFormat="1" applyFont="1" applyFill="1"/>
    <xf numFmtId="0" fontId="3" fillId="2" borderId="4" xfId="0" applyFont="1" applyFill="1" applyBorder="1" applyProtection="1"/>
    <xf numFmtId="0" fontId="3" fillId="0" borderId="4" xfId="0" applyFont="1" applyBorder="1" applyProtection="1"/>
    <xf numFmtId="0" fontId="0" fillId="4" borderId="4" xfId="0" applyFill="1" applyBorder="1"/>
    <xf numFmtId="0" fontId="2" fillId="4" borderId="0" xfId="0" applyFont="1" applyFill="1"/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47625</xdr:rowOff>
    </xdr:from>
    <xdr:to>
      <xdr:col>5</xdr:col>
      <xdr:colOff>381000</xdr:colOff>
      <xdr:row>5</xdr:row>
      <xdr:rowOff>161925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1676400" y="47625"/>
          <a:ext cx="1752600" cy="10668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MINIMUM FORMULA 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=MIN(B4:B31)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Starts with the first data row in the original table and ends with the last row in the data to be analyzed</a:t>
          </a:r>
        </a:p>
      </xdr:txBody>
    </xdr:sp>
    <xdr:clientData/>
  </xdr:twoCellAnchor>
  <xdr:twoCellAnchor>
    <xdr:from>
      <xdr:col>7</xdr:col>
      <xdr:colOff>381000</xdr:colOff>
      <xdr:row>3</xdr:row>
      <xdr:rowOff>38100</xdr:rowOff>
    </xdr:from>
    <xdr:to>
      <xdr:col>10</xdr:col>
      <xdr:colOff>123825</xdr:colOff>
      <xdr:row>5</xdr:row>
      <xdr:rowOff>0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4648200" y="609600"/>
          <a:ext cx="1571625" cy="3429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=AVERAGE(B4:B31)</a:t>
          </a:r>
        </a:p>
      </xdr:txBody>
    </xdr:sp>
    <xdr:clientData/>
  </xdr:twoCellAnchor>
  <xdr:twoCellAnchor>
    <xdr:from>
      <xdr:col>3</xdr:col>
      <xdr:colOff>171450</xdr:colOff>
      <xdr:row>4</xdr:row>
      <xdr:rowOff>28575</xdr:rowOff>
    </xdr:from>
    <xdr:to>
      <xdr:col>3</xdr:col>
      <xdr:colOff>209550</xdr:colOff>
      <xdr:row>8</xdr:row>
      <xdr:rowOff>352425</xdr:rowOff>
    </xdr:to>
    <xdr:cxnSp macro="">
      <xdr:nvCxnSpPr>
        <xdr:cNvPr id="12" name="Straight Arrow Connector 11"/>
        <xdr:cNvCxnSpPr/>
      </xdr:nvCxnSpPr>
      <xdr:spPr>
        <a:xfrm flipH="1">
          <a:off x="2000250" y="790575"/>
          <a:ext cx="38100" cy="2609850"/>
        </a:xfrm>
        <a:prstGeom prst="straightConnector1">
          <a:avLst/>
        </a:prstGeom>
        <a:ln>
          <a:tailEnd type="triangle"/>
        </a:ln>
        <a:effectLst>
          <a:glow rad="101600">
            <a:schemeClr val="accent1">
              <a:satMod val="175000"/>
              <a:alpha val="40000"/>
            </a:schemeClr>
          </a:glow>
        </a:effectLst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866775</xdr:colOff>
      <xdr:row>14</xdr:row>
      <xdr:rowOff>171450</xdr:rowOff>
    </xdr:from>
    <xdr:to>
      <xdr:col>9</xdr:col>
      <xdr:colOff>447675</xdr:colOff>
      <xdr:row>23</xdr:row>
      <xdr:rowOff>47625</xdr:rowOff>
    </xdr:to>
    <xdr:cxnSp macro="">
      <xdr:nvCxnSpPr>
        <xdr:cNvPr id="13" name="Straight Arrow Connector 12"/>
        <xdr:cNvCxnSpPr/>
      </xdr:nvCxnSpPr>
      <xdr:spPr>
        <a:xfrm flipH="1" flipV="1">
          <a:off x="2695575" y="4552950"/>
          <a:ext cx="3514725" cy="1590675"/>
        </a:xfrm>
        <a:prstGeom prst="straightConnector1">
          <a:avLst/>
        </a:prstGeom>
        <a:ln>
          <a:tailEnd type="triangle"/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4</xdr:row>
      <xdr:rowOff>152400</xdr:rowOff>
    </xdr:from>
    <xdr:to>
      <xdr:col>7</xdr:col>
      <xdr:colOff>495300</xdr:colOff>
      <xdr:row>10</xdr:row>
      <xdr:rowOff>74295</xdr:rowOff>
    </xdr:to>
    <xdr:cxnSp macro="">
      <xdr:nvCxnSpPr>
        <xdr:cNvPr id="14" name="Straight Arrow Connector 13"/>
        <xdr:cNvCxnSpPr/>
      </xdr:nvCxnSpPr>
      <xdr:spPr>
        <a:xfrm flipH="1">
          <a:off x="2457450" y="914400"/>
          <a:ext cx="2581275" cy="2779395"/>
        </a:xfrm>
        <a:prstGeom prst="straightConnector1">
          <a:avLst/>
        </a:prstGeom>
        <a:ln>
          <a:tailEnd type="triangle"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11</xdr:row>
      <xdr:rowOff>161925</xdr:rowOff>
    </xdr:from>
    <xdr:to>
      <xdr:col>3</xdr:col>
      <xdr:colOff>47625</xdr:colOff>
      <xdr:row>21</xdr:row>
      <xdr:rowOff>28575</xdr:rowOff>
    </xdr:to>
    <xdr:cxnSp macro="">
      <xdr:nvCxnSpPr>
        <xdr:cNvPr id="15" name="Straight Arrow Connector 14"/>
        <xdr:cNvCxnSpPr/>
      </xdr:nvCxnSpPr>
      <xdr:spPr>
        <a:xfrm flipV="1">
          <a:off x="628650" y="3971925"/>
          <a:ext cx="1247775" cy="1771650"/>
        </a:xfrm>
        <a:prstGeom prst="straightConnector1">
          <a:avLst/>
        </a:prstGeom>
        <a:ln>
          <a:tailEnd type="triangle"/>
        </a:ln>
        <a:effectLst>
          <a:glow rad="63500">
            <a:schemeClr val="accent4">
              <a:satMod val="175000"/>
              <a:alpha val="40000"/>
            </a:schemeClr>
          </a:glo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295276</xdr:colOff>
      <xdr:row>19</xdr:row>
      <xdr:rowOff>142875</xdr:rowOff>
    </xdr:from>
    <xdr:to>
      <xdr:col>3</xdr:col>
      <xdr:colOff>57150</xdr:colOff>
      <xdr:row>23</xdr:row>
      <xdr:rowOff>133350</xdr:rowOff>
    </xdr:to>
    <xdr:sp macro="" textlink="">
      <xdr:nvSpPr>
        <xdr:cNvPr id="3082" name="Text Box 9"/>
        <xdr:cNvSpPr txBox="1">
          <a:spLocks noChangeArrowheads="1"/>
        </xdr:cNvSpPr>
      </xdr:nvSpPr>
      <xdr:spPr bwMode="auto">
        <a:xfrm>
          <a:off x="295276" y="5476875"/>
          <a:ext cx="1590674" cy="7524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MAXIMUM FORMULA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=MAX(B4:B31)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9</xdr:col>
      <xdr:colOff>438149</xdr:colOff>
      <xdr:row>22</xdr:row>
      <xdr:rowOff>142875</xdr:rowOff>
    </xdr:from>
    <xdr:to>
      <xdr:col>13</xdr:col>
      <xdr:colOff>238124</xdr:colOff>
      <xdr:row>30</xdr:row>
      <xdr:rowOff>104775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6200774" y="6048375"/>
          <a:ext cx="2238375" cy="14859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QUARTILE 1 CAP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=B38/4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=quartile.inc(e2:e8,1)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(sets initial quartile)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QUARTILE 2 CAP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=quartile.inc(e2:e,2)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</xdr:row>
      <xdr:rowOff>9525</xdr:rowOff>
    </xdr:from>
    <xdr:to>
      <xdr:col>8</xdr:col>
      <xdr:colOff>447675</xdr:colOff>
      <xdr:row>7</xdr:row>
      <xdr:rowOff>228600</xdr:rowOff>
    </xdr:to>
    <xdr:sp macro="" textlink="">
      <xdr:nvSpPr>
        <xdr:cNvPr id="2" name="TextBox 1"/>
        <xdr:cNvSpPr txBox="1"/>
      </xdr:nvSpPr>
      <xdr:spPr>
        <a:xfrm>
          <a:off x="5353050" y="200025"/>
          <a:ext cx="1990725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Comments</a:t>
          </a:r>
          <a:r>
            <a:rPr lang="en-US" sz="1100" baseline="0"/>
            <a:t> indicator</a:t>
          </a:r>
        </a:p>
        <a:p>
          <a:r>
            <a:rPr lang="en-US" sz="1100" baseline="0"/>
            <a:t>Hover over to read comment.</a:t>
          </a:r>
        </a:p>
        <a:p>
          <a:endParaRPr lang="en-US" sz="1100" baseline="0"/>
        </a:p>
        <a:p>
          <a:r>
            <a:rPr lang="en-US" sz="1100" b="1" baseline="0"/>
            <a:t>ACTION:</a:t>
          </a:r>
        </a:p>
        <a:p>
          <a:r>
            <a:rPr lang="en-US" sz="1100" baseline="0"/>
            <a:t>Click on a cell, go to </a:t>
          </a:r>
          <a:r>
            <a:rPr lang="en-US" sz="1100" b="1" baseline="0"/>
            <a:t>Review</a:t>
          </a:r>
          <a:r>
            <a:rPr lang="en-US" sz="1100" baseline="0"/>
            <a:t> tab in navigation banner, </a:t>
          </a:r>
          <a:r>
            <a:rPr lang="en-US" sz="1100" b="1" baseline="0"/>
            <a:t>Add new comment </a:t>
          </a:r>
          <a:endParaRPr lang="en-US" sz="1100" b="1"/>
        </a:p>
      </xdr:txBody>
    </xdr:sp>
    <xdr:clientData/>
  </xdr:twoCellAnchor>
  <xdr:twoCellAnchor>
    <xdr:from>
      <xdr:col>7</xdr:col>
      <xdr:colOff>1066800</xdr:colOff>
      <xdr:row>7</xdr:row>
      <xdr:rowOff>142875</xdr:rowOff>
    </xdr:from>
    <xdr:to>
      <xdr:col>8</xdr:col>
      <xdr:colOff>238125</xdr:colOff>
      <xdr:row>11</xdr:row>
      <xdr:rowOff>133350</xdr:rowOff>
    </xdr:to>
    <xdr:cxnSp macro="">
      <xdr:nvCxnSpPr>
        <xdr:cNvPr id="4" name="Straight Arrow Connector 3"/>
        <xdr:cNvCxnSpPr/>
      </xdr:nvCxnSpPr>
      <xdr:spPr>
        <a:xfrm flipH="1">
          <a:off x="6867525" y="1476375"/>
          <a:ext cx="266700" cy="1866900"/>
        </a:xfrm>
        <a:prstGeom prst="straightConnector1">
          <a:avLst/>
        </a:prstGeom>
        <a:ln>
          <a:tailEnd type="triangle"/>
        </a:ln>
        <a:effectLst>
          <a:glow rad="101600">
            <a:schemeClr val="accent5">
              <a:satMod val="175000"/>
              <a:alpha val="40000"/>
            </a:schemeClr>
          </a:glo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7</xdr:row>
      <xdr:rowOff>533400</xdr:rowOff>
    </xdr:from>
    <xdr:to>
      <xdr:col>3</xdr:col>
      <xdr:colOff>219075</xdr:colOff>
      <xdr:row>14</xdr:row>
      <xdr:rowOff>47625</xdr:rowOff>
    </xdr:to>
    <xdr:sp macro="" textlink="">
      <xdr:nvSpPr>
        <xdr:cNvPr id="5" name="TextBox 4"/>
        <xdr:cNvSpPr txBox="1"/>
      </xdr:nvSpPr>
      <xdr:spPr>
        <a:xfrm>
          <a:off x="457200" y="1866900"/>
          <a:ext cx="1590675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SUM</a:t>
          </a:r>
          <a:r>
            <a:rPr lang="en-US" sz="1100" b="1" baseline="0"/>
            <a:t> Formula</a:t>
          </a:r>
        </a:p>
        <a:p>
          <a:r>
            <a:rPr lang="en-US" sz="1100" baseline="0"/>
            <a:t>=sum(start cell : end cell)</a:t>
          </a:r>
        </a:p>
        <a:p>
          <a:endParaRPr lang="en-US" sz="1100" baseline="0"/>
        </a:p>
        <a:p>
          <a:r>
            <a:rPr lang="en-US" sz="1100" baseline="0"/>
            <a:t>Left-click mouse, drag to specify the cell range, or type</a:t>
          </a:r>
        </a:p>
        <a:p>
          <a:endParaRPr lang="en-US" sz="1100" baseline="0"/>
        </a:p>
        <a:p>
          <a:r>
            <a:rPr lang="en-US" sz="1100" baseline="0"/>
            <a:t>Confirm accurate by clicking on the formula</a:t>
          </a:r>
          <a:endParaRPr lang="en-US" sz="1100"/>
        </a:p>
      </xdr:txBody>
    </xdr:sp>
    <xdr:clientData/>
  </xdr:twoCellAnchor>
  <xdr:twoCellAnchor>
    <xdr:from>
      <xdr:col>3</xdr:col>
      <xdr:colOff>266700</xdr:colOff>
      <xdr:row>7</xdr:row>
      <xdr:rowOff>628650</xdr:rowOff>
    </xdr:from>
    <xdr:to>
      <xdr:col>6</xdr:col>
      <xdr:colOff>142875</xdr:colOff>
      <xdr:row>16</xdr:row>
      <xdr:rowOff>19050</xdr:rowOff>
    </xdr:to>
    <xdr:cxnSp macro="">
      <xdr:nvCxnSpPr>
        <xdr:cNvPr id="7" name="Straight Arrow Connector 6"/>
        <xdr:cNvCxnSpPr/>
      </xdr:nvCxnSpPr>
      <xdr:spPr>
        <a:xfrm>
          <a:off x="2095500" y="1962150"/>
          <a:ext cx="2752725" cy="2219325"/>
        </a:xfrm>
        <a:prstGeom prst="straightConnector1">
          <a:avLst/>
        </a:prstGeom>
        <a:ln>
          <a:tailEnd type="triangle"/>
        </a:ln>
        <a:effectLst>
          <a:glow rad="1397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</xdr:row>
      <xdr:rowOff>85725</xdr:rowOff>
    </xdr:from>
    <xdr:to>
      <xdr:col>14</xdr:col>
      <xdr:colOff>238125</xdr:colOff>
      <xdr:row>7</xdr:row>
      <xdr:rowOff>752475</xdr:rowOff>
    </xdr:to>
    <xdr:sp macro="" textlink="">
      <xdr:nvSpPr>
        <xdr:cNvPr id="8" name="TextBox 7"/>
        <xdr:cNvSpPr txBox="1"/>
      </xdr:nvSpPr>
      <xdr:spPr>
        <a:xfrm>
          <a:off x="9115425" y="276225"/>
          <a:ext cx="2657475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CHANGE</a:t>
          </a:r>
          <a:r>
            <a:rPr lang="en-US" sz="1100" baseline="0"/>
            <a:t> Formula - number and percent</a:t>
          </a:r>
        </a:p>
        <a:p>
          <a:endParaRPr lang="en-US" sz="1100"/>
        </a:p>
        <a:p>
          <a:r>
            <a:rPr lang="en-US" sz="1100" b="1"/>
            <a:t>Dollar</a:t>
          </a:r>
          <a:r>
            <a:rPr lang="en-US" sz="1100" b="1" baseline="0"/>
            <a:t> change</a:t>
          </a:r>
          <a:endParaRPr lang="en-US" sz="1100" b="1"/>
        </a:p>
        <a:p>
          <a:r>
            <a:rPr lang="en-US" sz="1100"/>
            <a:t>=new budget amount (minus)</a:t>
          </a:r>
          <a:r>
            <a:rPr lang="en-US" sz="1100" baseline="0"/>
            <a:t> previous budget amount    </a:t>
          </a:r>
          <a:r>
            <a:rPr lang="en-US" sz="1100" b="1" baseline="0"/>
            <a:t>=j12-i12</a:t>
          </a:r>
        </a:p>
        <a:p>
          <a:endParaRPr lang="en-US" sz="1100" b="1" baseline="0"/>
        </a:p>
        <a:p>
          <a:r>
            <a:rPr lang="en-US" sz="1100" b="1" baseline="0"/>
            <a:t>% change</a:t>
          </a:r>
        </a:p>
        <a:p>
          <a:r>
            <a:rPr lang="en-US" sz="1100" b="0" baseline="0"/>
            <a:t>=change amount divided by previous budget     </a:t>
          </a:r>
          <a:r>
            <a:rPr lang="en-US" sz="1100" b="1" baseline="0"/>
            <a:t>=k12/i12</a:t>
          </a:r>
        </a:p>
        <a:p>
          <a:endParaRPr lang="en-US" sz="1100" b="0"/>
        </a:p>
      </xdr:txBody>
    </xdr:sp>
    <xdr:clientData/>
  </xdr:twoCellAnchor>
  <xdr:twoCellAnchor>
    <xdr:from>
      <xdr:col>13</xdr:col>
      <xdr:colOff>142875</xdr:colOff>
      <xdr:row>7</xdr:row>
      <xdr:rowOff>514350</xdr:rowOff>
    </xdr:from>
    <xdr:to>
      <xdr:col>14</xdr:col>
      <xdr:colOff>114300</xdr:colOff>
      <xdr:row>12</xdr:row>
      <xdr:rowOff>57150</xdr:rowOff>
    </xdr:to>
    <xdr:sp macro="" textlink="">
      <xdr:nvSpPr>
        <xdr:cNvPr id="9" name="Curved Left Arrow 8"/>
        <xdr:cNvSpPr/>
      </xdr:nvSpPr>
      <xdr:spPr>
        <a:xfrm>
          <a:off x="11068050" y="1847850"/>
          <a:ext cx="581025" cy="16097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22</xdr:row>
      <xdr:rowOff>142875</xdr:rowOff>
    </xdr:from>
    <xdr:to>
      <xdr:col>2</xdr:col>
      <xdr:colOff>457200</xdr:colOff>
      <xdr:row>32</xdr:row>
      <xdr:rowOff>142875</xdr:rowOff>
    </xdr:to>
    <xdr:sp macro="" textlink="">
      <xdr:nvSpPr>
        <xdr:cNvPr id="10" name="TextBox 9"/>
        <xdr:cNvSpPr txBox="1"/>
      </xdr:nvSpPr>
      <xdr:spPr>
        <a:xfrm>
          <a:off x="161925" y="5495925"/>
          <a:ext cx="1514475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Overspent?</a:t>
          </a:r>
        </a:p>
        <a:p>
          <a:r>
            <a:rPr lang="en-US" sz="1100"/>
            <a:t>How to c</a:t>
          </a:r>
          <a:r>
            <a:rPr lang="en-US" sz="1100" b="1"/>
            <a:t>a</a:t>
          </a:r>
          <a:r>
            <a:rPr lang="en-US" sz="1100"/>
            <a:t>lculate use of reserves (fund balance)</a:t>
          </a:r>
        </a:p>
        <a:p>
          <a:endParaRPr lang="en-US" sz="1100"/>
        </a:p>
        <a:p>
          <a:r>
            <a:rPr lang="en-US" sz="1100"/>
            <a:t>Surplus/(Deficit) detail from another table. Simply sum the figures</a:t>
          </a:r>
          <a:r>
            <a:rPr lang="en-US" sz="1100" baseline="0"/>
            <a:t> in the column to determine surplus or (deficit)</a:t>
          </a:r>
          <a:endParaRPr lang="en-US" sz="1100"/>
        </a:p>
      </xdr:txBody>
    </xdr:sp>
    <xdr:clientData/>
  </xdr:twoCellAnchor>
  <xdr:twoCellAnchor>
    <xdr:from>
      <xdr:col>2</xdr:col>
      <xdr:colOff>361950</xdr:colOff>
      <xdr:row>24</xdr:row>
      <xdr:rowOff>152400</xdr:rowOff>
    </xdr:from>
    <xdr:to>
      <xdr:col>9</xdr:col>
      <xdr:colOff>371475</xdr:colOff>
      <xdr:row>31</xdr:row>
      <xdr:rowOff>171450</xdr:rowOff>
    </xdr:to>
    <xdr:cxnSp macro="">
      <xdr:nvCxnSpPr>
        <xdr:cNvPr id="12" name="Straight Arrow Connector 11"/>
        <xdr:cNvCxnSpPr/>
      </xdr:nvCxnSpPr>
      <xdr:spPr>
        <a:xfrm flipV="1">
          <a:off x="1581150" y="5886450"/>
          <a:ext cx="6781800" cy="1352550"/>
        </a:xfrm>
        <a:prstGeom prst="straightConnector1">
          <a:avLst/>
        </a:prstGeom>
        <a:ln>
          <a:tailEnd type="triangle"/>
        </a:ln>
        <a:effectLst>
          <a:glow rad="139700">
            <a:schemeClr val="accent5">
              <a:satMod val="175000"/>
              <a:alpha val="40000"/>
            </a:schemeClr>
          </a:glow>
        </a:effectLst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nagement\Assessment\Efficiencies%20Analysis\Staff%20Planning%202014\Shelver%20Formula%202015\6_Minimum%20Staffing%20Level%20Detail%200121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9dba160c36c0352/Documents/RIPL%202016%20and%20PLA/LSA_LTA%20Staffing%20Formula_WORKING%20FILES%20FOR%20DENISE%20ON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nagement\Budget\Kurt%20Budget%20FY%2014-15\May%20Budget\SPL%20Master%20data%20FY15%20saved%2004_2_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9dba160c36c0352/Documents/RIPL%202016%20and%20PLA/budget%20document%20data%20tables%20FY16%20final%2009_02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nagement\Budget\Kurt%20Budget%20FY%2015-16\May%20Budget\SPL%20Master%20data%20FY16%20saved%2004_20_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nagement\Budget\Kurt%20Budget%20FY%2015-16\September%20Final\SPL%20Master%20data%20FY16%20saved%2009_02_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nagement\Budget\Kurt%20Budget%20FY%2015-16\May%20Budget\SPL%20Master%20data%20FY16%20saved%2009_02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LL"/>
      <sheetName val="Staffing"/>
      <sheetName val="Outputs"/>
      <sheetName val="Quartile"/>
      <sheetName val="Assessment1"/>
      <sheetName val="Assessment2"/>
    </sheetNames>
    <sheetDataSet>
      <sheetData sheetId="0" refreshError="1">
        <row r="2">
          <cell r="E2">
            <v>137467</v>
          </cell>
        </row>
        <row r="3">
          <cell r="E3">
            <v>164585</v>
          </cell>
        </row>
        <row r="4">
          <cell r="E4">
            <v>232949</v>
          </cell>
        </row>
        <row r="5">
          <cell r="E5">
            <v>347673</v>
          </cell>
        </row>
        <row r="6">
          <cell r="E6">
            <v>135622</v>
          </cell>
        </row>
        <row r="7">
          <cell r="E7">
            <v>173382</v>
          </cell>
        </row>
        <row r="8">
          <cell r="E8">
            <v>21802</v>
          </cell>
        </row>
        <row r="9">
          <cell r="E9">
            <v>74314</v>
          </cell>
        </row>
        <row r="10">
          <cell r="E10">
            <v>172543</v>
          </cell>
        </row>
        <row r="11">
          <cell r="E11">
            <v>121462</v>
          </cell>
        </row>
        <row r="12">
          <cell r="E12">
            <v>217788</v>
          </cell>
        </row>
        <row r="13">
          <cell r="E13">
            <v>75835</v>
          </cell>
        </row>
        <row r="14">
          <cell r="E14">
            <v>22347</v>
          </cell>
        </row>
        <row r="15">
          <cell r="E15">
            <v>102105</v>
          </cell>
        </row>
        <row r="16">
          <cell r="E16">
            <v>48161</v>
          </cell>
        </row>
        <row r="17">
          <cell r="E17">
            <v>111492</v>
          </cell>
        </row>
        <row r="18">
          <cell r="E18">
            <v>159748</v>
          </cell>
        </row>
        <row r="19">
          <cell r="E19">
            <v>191144</v>
          </cell>
        </row>
        <row r="20">
          <cell r="E20">
            <v>87818</v>
          </cell>
        </row>
        <row r="21">
          <cell r="E21">
            <v>70971</v>
          </cell>
        </row>
        <row r="22">
          <cell r="E22">
            <v>154583</v>
          </cell>
        </row>
        <row r="23">
          <cell r="E23">
            <v>160001</v>
          </cell>
        </row>
        <row r="24">
          <cell r="E24">
            <v>36021</v>
          </cell>
        </row>
        <row r="25">
          <cell r="E25">
            <v>150374</v>
          </cell>
        </row>
        <row r="26">
          <cell r="E26">
            <v>142203</v>
          </cell>
        </row>
        <row r="27">
          <cell r="E27">
            <v>175507</v>
          </cell>
        </row>
        <row r="28">
          <cell r="E28">
            <v>205843.33333333334</v>
          </cell>
        </row>
        <row r="29">
          <cell r="E29">
            <v>23223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iles"/>
      <sheetName val="BranchSummary2014"/>
      <sheetName val="Outputs 2014"/>
      <sheetName val="Assessment"/>
      <sheetName val="OnDeskLogs"/>
      <sheetName val="OnDeskQuartiles"/>
      <sheetName val="OffDeskLogs"/>
      <sheetName val="OffDeskQuartiles"/>
      <sheetName val="Comments_OffDesk"/>
      <sheetName val="Word Usage"/>
      <sheetName val="Words"/>
      <sheetName val="InOrderPhrase"/>
    </sheetNames>
    <sheetDataSet>
      <sheetData sheetId="0"/>
      <sheetData sheetId="1">
        <row r="2">
          <cell r="X2">
            <v>3.5</v>
          </cell>
          <cell r="Y2">
            <v>7280</v>
          </cell>
        </row>
        <row r="3">
          <cell r="X3">
            <v>4.5</v>
          </cell>
          <cell r="Y3">
            <v>9360</v>
          </cell>
        </row>
        <row r="4">
          <cell r="Y4">
            <v>14560</v>
          </cell>
        </row>
        <row r="5">
          <cell r="Y5">
            <v>31200</v>
          </cell>
        </row>
        <row r="6">
          <cell r="X6">
            <v>2.5</v>
          </cell>
          <cell r="Y6">
            <v>5200</v>
          </cell>
        </row>
        <row r="7">
          <cell r="X7">
            <v>3.5</v>
          </cell>
          <cell r="Y7">
            <v>7280</v>
          </cell>
        </row>
        <row r="8">
          <cell r="Y8">
            <v>3120</v>
          </cell>
        </row>
        <row r="9">
          <cell r="X9">
            <v>2.5</v>
          </cell>
          <cell r="Y9">
            <v>5200</v>
          </cell>
        </row>
        <row r="10">
          <cell r="X10">
            <v>5.5</v>
          </cell>
          <cell r="Y10">
            <v>11440</v>
          </cell>
        </row>
        <row r="11">
          <cell r="X11">
            <v>4.5</v>
          </cell>
          <cell r="Y11">
            <v>9360</v>
          </cell>
        </row>
        <row r="12">
          <cell r="X12">
            <v>3</v>
          </cell>
          <cell r="Y12">
            <v>6240</v>
          </cell>
        </row>
        <row r="13">
          <cell r="X13">
            <v>3</v>
          </cell>
          <cell r="Y13">
            <v>6240</v>
          </cell>
        </row>
        <row r="14">
          <cell r="X14">
            <v>0</v>
          </cell>
          <cell r="Y14">
            <v>0</v>
          </cell>
        </row>
        <row r="15">
          <cell r="X15">
            <v>2.5</v>
          </cell>
          <cell r="Y15">
            <v>5200</v>
          </cell>
        </row>
        <row r="16">
          <cell r="X16">
            <v>2</v>
          </cell>
          <cell r="Y16">
            <v>4160</v>
          </cell>
        </row>
        <row r="17">
          <cell r="X17">
            <v>3</v>
          </cell>
          <cell r="Y17">
            <v>6240</v>
          </cell>
        </row>
        <row r="18">
          <cell r="X18">
            <v>4.5</v>
          </cell>
          <cell r="Y18">
            <v>9360</v>
          </cell>
        </row>
        <row r="19">
          <cell r="X19">
            <v>3.5</v>
          </cell>
          <cell r="Y19">
            <v>7280</v>
          </cell>
        </row>
        <row r="20">
          <cell r="X20">
            <v>2</v>
          </cell>
          <cell r="Y20">
            <v>4160</v>
          </cell>
        </row>
        <row r="21">
          <cell r="X21">
            <v>2</v>
          </cell>
          <cell r="Y21">
            <v>4160</v>
          </cell>
        </row>
        <row r="22">
          <cell r="X22">
            <v>3</v>
          </cell>
          <cell r="Y22">
            <v>6240</v>
          </cell>
        </row>
        <row r="23">
          <cell r="X23">
            <v>2.5</v>
          </cell>
          <cell r="Y23">
            <v>5200</v>
          </cell>
        </row>
        <row r="24">
          <cell r="X24">
            <v>2.5</v>
          </cell>
          <cell r="Y24">
            <v>5200</v>
          </cell>
        </row>
        <row r="25">
          <cell r="X25">
            <v>2.5</v>
          </cell>
          <cell r="Y25">
            <v>5200</v>
          </cell>
        </row>
        <row r="26">
          <cell r="X26">
            <v>3.5</v>
          </cell>
          <cell r="Y26">
            <v>7280</v>
          </cell>
        </row>
        <row r="27">
          <cell r="X27">
            <v>4.5</v>
          </cell>
          <cell r="Y27">
            <v>9360</v>
          </cell>
        </row>
        <row r="28">
          <cell r="X28">
            <v>3.5</v>
          </cell>
          <cell r="Y28">
            <v>7280</v>
          </cell>
        </row>
        <row r="29">
          <cell r="X29">
            <v>0</v>
          </cell>
          <cell r="Y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1"/>
      <sheetName val="111"/>
      <sheetName val="201"/>
      <sheetName val="202"/>
      <sheetName val="203"/>
      <sheetName val="400"/>
      <sheetName val="Sheet1"/>
    </sheetNames>
    <sheetDataSet>
      <sheetData sheetId="0" refreshError="1">
        <row r="27">
          <cell r="P27">
            <v>32388160</v>
          </cell>
        </row>
        <row r="30">
          <cell r="P30">
            <v>22000000</v>
          </cell>
        </row>
        <row r="31">
          <cell r="P31">
            <v>7780000</v>
          </cell>
        </row>
        <row r="32">
          <cell r="P32">
            <v>3827000</v>
          </cell>
        </row>
        <row r="33">
          <cell r="P33">
            <v>134500</v>
          </cell>
        </row>
        <row r="34">
          <cell r="P34">
            <v>142500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A-2 Budget Summary"/>
      <sheetName val="Exh A-3 Revenues by Fund"/>
      <sheetName val="Exh A-4 Expenses by Fund"/>
      <sheetName val="Exh $12 Parcel Tax"/>
      <sheetName val="Exh A-5  Books_Materials"/>
    </sheetNames>
    <sheetDataSet>
      <sheetData sheetId="0"/>
      <sheetData sheetId="1">
        <row r="53">
          <cell r="D53">
            <v>36260160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1"/>
      <sheetName val="111"/>
      <sheetName val="201"/>
      <sheetName val="202"/>
      <sheetName val="203"/>
      <sheetName val="204"/>
      <sheetName val="400"/>
    </sheetNames>
    <sheetDataSet>
      <sheetData sheetId="0" refreshError="1">
        <row r="28">
          <cell r="Q28">
            <v>37335600</v>
          </cell>
        </row>
        <row r="31">
          <cell r="Q31">
            <v>23112000</v>
          </cell>
        </row>
        <row r="32">
          <cell r="Q32">
            <v>8608135</v>
          </cell>
        </row>
        <row r="33">
          <cell r="Q33">
            <v>4700000</v>
          </cell>
        </row>
        <row r="34">
          <cell r="Q34">
            <v>975500</v>
          </cell>
        </row>
        <row r="35">
          <cell r="Q35">
            <v>93000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1"/>
      <sheetName val="111"/>
      <sheetName val="201"/>
      <sheetName val="202"/>
      <sheetName val="203"/>
      <sheetName val="204"/>
      <sheetName val="400"/>
    </sheetNames>
    <sheetDataSet>
      <sheetData sheetId="0" refreshError="1">
        <row r="28">
          <cell r="R28">
            <v>37335600</v>
          </cell>
        </row>
        <row r="31">
          <cell r="R31">
            <v>23162000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1"/>
      <sheetName val="111"/>
      <sheetName val="201"/>
      <sheetName val="202"/>
      <sheetName val="203"/>
      <sheetName val="204"/>
      <sheetName val="400"/>
      <sheetName val="Exh A-2 Budget Summary"/>
      <sheetName val="Exh $12 Parcel Tax"/>
      <sheetName val="Exh A-5  Books_Materials"/>
      <sheetName val="Exh A-3 Revenues by Fund"/>
    </sheetNames>
    <sheetDataSet>
      <sheetData sheetId="0" refreshError="1">
        <row r="32">
          <cell r="R32">
            <v>8882135</v>
          </cell>
        </row>
        <row r="33">
          <cell r="R33">
            <v>4700000</v>
          </cell>
        </row>
        <row r="34">
          <cell r="R34">
            <v>1186500</v>
          </cell>
        </row>
        <row r="35">
          <cell r="R35">
            <v>214000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Normal="100" workbookViewId="0">
      <selection activeCell="L36" sqref="L36"/>
    </sheetView>
  </sheetViews>
  <sheetFormatPr defaultRowHeight="15" x14ac:dyDescent="0.25"/>
  <cols>
    <col min="1" max="1" width="14.5703125" customWidth="1"/>
    <col min="4" max="4" width="11.28515625" customWidth="1"/>
    <col min="6" max="6" width="2.85546875" customWidth="1"/>
    <col min="13" max="13" width="13.85546875" customWidth="1"/>
    <col min="16" max="16" width="10.28515625" customWidth="1"/>
    <col min="18" max="18" width="2.5703125" customWidth="1"/>
  </cols>
  <sheetData>
    <row r="1" spans="1:22" ht="15.75" x14ac:dyDescent="0.25">
      <c r="A1" s="1" t="s">
        <v>0</v>
      </c>
      <c r="B1" s="75" t="s">
        <v>1</v>
      </c>
      <c r="C1" s="76"/>
      <c r="D1" s="76"/>
      <c r="E1" s="77"/>
      <c r="F1" s="2"/>
      <c r="G1" s="75" t="s">
        <v>2</v>
      </c>
      <c r="H1" s="77"/>
      <c r="I1" s="75" t="s">
        <v>3</v>
      </c>
      <c r="J1" s="77"/>
      <c r="M1" s="74" t="s">
        <v>25</v>
      </c>
      <c r="N1" s="5" t="s">
        <v>1</v>
      </c>
      <c r="O1" s="5"/>
      <c r="P1" s="5"/>
      <c r="Q1" s="5"/>
      <c r="R1" s="5"/>
      <c r="S1" s="5" t="s">
        <v>2</v>
      </c>
      <c r="T1" s="5"/>
      <c r="U1" s="5" t="s">
        <v>3</v>
      </c>
      <c r="V1" s="5"/>
    </row>
    <row r="2" spans="1:22" ht="75" customHeight="1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/>
      <c r="G2" s="4" t="s">
        <v>9</v>
      </c>
      <c r="H2" s="4" t="s">
        <v>10</v>
      </c>
      <c r="I2" s="4" t="s">
        <v>11</v>
      </c>
      <c r="J2" s="4" t="s">
        <v>12</v>
      </c>
      <c r="M2" s="10" t="s">
        <v>4</v>
      </c>
      <c r="N2" s="4" t="s">
        <v>5</v>
      </c>
      <c r="O2" s="4" t="s">
        <v>6</v>
      </c>
      <c r="P2" s="4" t="s">
        <v>7</v>
      </c>
      <c r="Q2" s="4" t="s">
        <v>8</v>
      </c>
      <c r="R2" s="4"/>
      <c r="S2" s="4" t="s">
        <v>9</v>
      </c>
      <c r="T2" s="4" t="s">
        <v>10</v>
      </c>
      <c r="U2" s="4" t="s">
        <v>11</v>
      </c>
      <c r="V2" s="4" t="s">
        <v>12</v>
      </c>
    </row>
    <row r="3" spans="1:22" ht="30" x14ac:dyDescent="0.25">
      <c r="A3" s="5"/>
      <c r="B3" s="6"/>
      <c r="C3" s="6"/>
      <c r="D3" s="6"/>
      <c r="E3" s="6"/>
      <c r="F3" s="6"/>
      <c r="G3" s="7" t="s">
        <v>13</v>
      </c>
      <c r="H3" s="7" t="s">
        <v>13</v>
      </c>
      <c r="I3" s="8"/>
      <c r="J3" s="8"/>
      <c r="M3" s="10"/>
      <c r="N3" s="10"/>
      <c r="O3" s="10"/>
      <c r="P3" s="10"/>
      <c r="Q3" s="10"/>
      <c r="R3" s="10"/>
      <c r="S3" s="9" t="s">
        <v>13</v>
      </c>
      <c r="T3" s="9" t="s">
        <v>13</v>
      </c>
      <c r="U3" s="10"/>
      <c r="V3" s="10"/>
    </row>
    <row r="4" spans="1:22" x14ac:dyDescent="0.25">
      <c r="A4" s="22" t="s">
        <v>52</v>
      </c>
      <c r="B4" s="23">
        <v>12686</v>
      </c>
      <c r="C4" s="24">
        <f>'[1]Summary-ALL'!E2</f>
        <v>137467</v>
      </c>
      <c r="D4" s="24">
        <v>171157</v>
      </c>
      <c r="E4" s="23">
        <f>B4*E33</f>
        <v>8601.0731392672387</v>
      </c>
      <c r="F4" s="23"/>
      <c r="G4" s="25">
        <f>[2]BranchSummary2014!X2</f>
        <v>3.5</v>
      </c>
      <c r="H4" s="24">
        <f>[2]BranchSummary2014!Y2</f>
        <v>7280</v>
      </c>
      <c r="I4" s="24">
        <f t="shared" ref="I4:I15" si="0">D4/G4</f>
        <v>48902</v>
      </c>
      <c r="J4" s="24">
        <f t="shared" ref="J4:J15" si="1">D4/H4</f>
        <v>23.510576923076922</v>
      </c>
      <c r="M4" s="22" t="s">
        <v>52</v>
      </c>
      <c r="N4" s="28">
        <v>12686</v>
      </c>
      <c r="O4" s="28">
        <v>137467</v>
      </c>
      <c r="P4" s="28">
        <v>171157</v>
      </c>
      <c r="Q4" s="28">
        <v>8601.0731392672387</v>
      </c>
      <c r="R4" s="10"/>
      <c r="S4" s="16">
        <v>3.5</v>
      </c>
      <c r="T4" s="28">
        <v>7280</v>
      </c>
      <c r="U4" s="28">
        <v>48902</v>
      </c>
      <c r="V4" s="28">
        <v>23.510576923076922</v>
      </c>
    </row>
    <row r="5" spans="1:22" x14ac:dyDescent="0.25">
      <c r="A5" s="22" t="s">
        <v>53</v>
      </c>
      <c r="B5" s="23">
        <v>11901</v>
      </c>
      <c r="C5" s="24">
        <f>'[1]Summary-ALL'!E3</f>
        <v>164585</v>
      </c>
      <c r="D5" s="24">
        <v>297690</v>
      </c>
      <c r="E5" s="23">
        <f>B5*E33</f>
        <v>8068.8452964227808</v>
      </c>
      <c r="F5" s="23"/>
      <c r="G5" s="25">
        <f>[2]BranchSummary2014!X3</f>
        <v>4.5</v>
      </c>
      <c r="H5" s="24">
        <f>[2]BranchSummary2014!Y3</f>
        <v>9360</v>
      </c>
      <c r="I5" s="24">
        <f t="shared" si="0"/>
        <v>66153.333333333328</v>
      </c>
      <c r="J5" s="24">
        <f t="shared" si="1"/>
        <v>31.804487179487179</v>
      </c>
      <c r="M5" s="22" t="s">
        <v>53</v>
      </c>
      <c r="N5" s="28">
        <v>11901</v>
      </c>
      <c r="O5" s="28">
        <v>164585</v>
      </c>
      <c r="P5" s="28">
        <v>297690</v>
      </c>
      <c r="Q5" s="28">
        <v>8068.8452964227808</v>
      </c>
      <c r="R5" s="10"/>
      <c r="S5" s="16">
        <v>4.5</v>
      </c>
      <c r="T5" s="28">
        <v>9360</v>
      </c>
      <c r="U5" s="28">
        <v>66153.333333333328</v>
      </c>
      <c r="V5" s="28">
        <v>31.804487179487179</v>
      </c>
    </row>
    <row r="6" spans="1:22" x14ac:dyDescent="0.25">
      <c r="A6" s="22" t="s">
        <v>54</v>
      </c>
      <c r="B6" s="23">
        <v>20690</v>
      </c>
      <c r="C6" s="24">
        <f>'[1]Summary-ALL'!E4</f>
        <v>232949</v>
      </c>
      <c r="D6" s="24">
        <v>396789</v>
      </c>
      <c r="E6" s="23">
        <f>B6*E33</f>
        <v>14027.763144524606</v>
      </c>
      <c r="F6" s="23"/>
      <c r="G6" s="25">
        <v>7</v>
      </c>
      <c r="H6" s="24">
        <f>[2]BranchSummary2014!Y4</f>
        <v>14560</v>
      </c>
      <c r="I6" s="24">
        <f t="shared" si="0"/>
        <v>56684.142857142855</v>
      </c>
      <c r="J6" s="24">
        <f t="shared" si="1"/>
        <v>27.251991758241758</v>
      </c>
      <c r="M6" s="22" t="s">
        <v>54</v>
      </c>
      <c r="N6" s="28">
        <v>20690</v>
      </c>
      <c r="O6" s="28">
        <v>232949</v>
      </c>
      <c r="P6" s="28">
        <v>396789</v>
      </c>
      <c r="Q6" s="28">
        <v>14027.763144524606</v>
      </c>
      <c r="R6" s="10"/>
      <c r="S6" s="16">
        <v>7</v>
      </c>
      <c r="T6" s="28">
        <v>14560</v>
      </c>
      <c r="U6" s="28">
        <v>56684.142857142855</v>
      </c>
      <c r="V6" s="28">
        <v>27.251991758241758</v>
      </c>
    </row>
    <row r="7" spans="1:22" x14ac:dyDescent="0.25">
      <c r="A7" s="22" t="s">
        <v>55</v>
      </c>
      <c r="B7" s="23">
        <v>160000</v>
      </c>
      <c r="C7" s="24">
        <f>'[1]Summary-ALL'!E5</f>
        <v>347673</v>
      </c>
      <c r="D7" s="24">
        <v>304535</v>
      </c>
      <c r="E7" s="23">
        <f>B7*E33</f>
        <v>108479.56032498488</v>
      </c>
      <c r="F7" s="23"/>
      <c r="G7" s="25">
        <f>11+4</f>
        <v>15</v>
      </c>
      <c r="H7" s="24">
        <f>[2]BranchSummary2014!Y5</f>
        <v>31200</v>
      </c>
      <c r="I7" s="24">
        <f t="shared" si="0"/>
        <v>20302.333333333332</v>
      </c>
      <c r="J7" s="24">
        <f t="shared" si="1"/>
        <v>9.7607371794871796</v>
      </c>
      <c r="M7" s="22" t="s">
        <v>55</v>
      </c>
      <c r="N7" s="28">
        <v>160000</v>
      </c>
      <c r="O7" s="28">
        <v>347673</v>
      </c>
      <c r="P7" s="28">
        <v>304535</v>
      </c>
      <c r="Q7" s="28">
        <v>108479.56032498488</v>
      </c>
      <c r="R7" s="10"/>
      <c r="S7" s="16">
        <v>15</v>
      </c>
      <c r="T7" s="28">
        <v>31200</v>
      </c>
      <c r="U7" s="28">
        <v>20302.333333333332</v>
      </c>
      <c r="V7" s="28">
        <v>9.7607371794871796</v>
      </c>
    </row>
    <row r="8" spans="1:22" x14ac:dyDescent="0.25">
      <c r="A8" s="22" t="s">
        <v>56</v>
      </c>
      <c r="B8" s="23">
        <v>12211</v>
      </c>
      <c r="C8" s="24">
        <f>'[1]Summary-ALL'!E6</f>
        <v>135622</v>
      </c>
      <c r="D8" s="24">
        <v>160811</v>
      </c>
      <c r="E8" s="23">
        <f>B8*E33</f>
        <v>8279.0244445524386</v>
      </c>
      <c r="F8" s="23"/>
      <c r="G8" s="25">
        <f>[2]BranchSummary2014!X6</f>
        <v>2.5</v>
      </c>
      <c r="H8" s="24">
        <f>[2]BranchSummary2014!Y6</f>
        <v>5200</v>
      </c>
      <c r="I8" s="24">
        <f t="shared" si="0"/>
        <v>64324.4</v>
      </c>
      <c r="J8" s="24">
        <f t="shared" si="1"/>
        <v>30.925192307692306</v>
      </c>
      <c r="M8" s="22" t="s">
        <v>56</v>
      </c>
      <c r="N8" s="28">
        <v>12211</v>
      </c>
      <c r="O8" s="28">
        <v>135622</v>
      </c>
      <c r="P8" s="28">
        <v>160811</v>
      </c>
      <c r="Q8" s="28">
        <v>8279.0244445524386</v>
      </c>
      <c r="R8" s="10"/>
      <c r="S8" s="16">
        <v>2.5</v>
      </c>
      <c r="T8" s="28">
        <v>5200</v>
      </c>
      <c r="U8" s="28">
        <v>64324.4</v>
      </c>
      <c r="V8" s="28">
        <v>30.925192307692306</v>
      </c>
    </row>
    <row r="9" spans="1:22" x14ac:dyDescent="0.25">
      <c r="A9" s="22" t="s">
        <v>57</v>
      </c>
      <c r="B9" s="23">
        <v>12000</v>
      </c>
      <c r="C9" s="24">
        <f>'[1]Summary-ALL'!E7</f>
        <v>173382</v>
      </c>
      <c r="D9" s="24">
        <v>279126</v>
      </c>
      <c r="E9" s="23">
        <f>B9*E33</f>
        <v>8135.9670243738656</v>
      </c>
      <c r="F9" s="23"/>
      <c r="G9" s="25">
        <f>[2]BranchSummary2014!X7</f>
        <v>3.5</v>
      </c>
      <c r="H9" s="24">
        <f>[2]BranchSummary2014!Y7</f>
        <v>7280</v>
      </c>
      <c r="I9" s="24">
        <f t="shared" si="0"/>
        <v>79750.28571428571</v>
      </c>
      <c r="J9" s="24">
        <f t="shared" si="1"/>
        <v>38.341483516483514</v>
      </c>
      <c r="M9" s="22" t="s">
        <v>57</v>
      </c>
      <c r="N9" s="28">
        <v>12000</v>
      </c>
      <c r="O9" s="28">
        <v>173382</v>
      </c>
      <c r="P9" s="28">
        <v>279126</v>
      </c>
      <c r="Q9" s="28">
        <v>8135.9670243738656</v>
      </c>
      <c r="R9" s="10"/>
      <c r="S9" s="16">
        <v>3.5</v>
      </c>
      <c r="T9" s="28">
        <v>7280</v>
      </c>
      <c r="U9" s="28">
        <v>79750.28571428571</v>
      </c>
      <c r="V9" s="28">
        <v>38.341483516483514</v>
      </c>
    </row>
    <row r="10" spans="1:22" x14ac:dyDescent="0.25">
      <c r="A10" s="22" t="s">
        <v>58</v>
      </c>
      <c r="B10" s="23">
        <v>2325</v>
      </c>
      <c r="C10" s="24">
        <f>'[1]Summary-ALL'!E8</f>
        <v>21802</v>
      </c>
      <c r="D10" s="24">
        <v>20259</v>
      </c>
      <c r="E10" s="23">
        <f>B10*E33</f>
        <v>1576.3436109724364</v>
      </c>
      <c r="F10" s="23"/>
      <c r="G10" s="25">
        <v>1.5</v>
      </c>
      <c r="H10" s="24">
        <f>[2]BranchSummary2014!Y8</f>
        <v>3120</v>
      </c>
      <c r="I10" s="24">
        <f t="shared" si="0"/>
        <v>13506</v>
      </c>
      <c r="J10" s="24">
        <f t="shared" si="1"/>
        <v>6.493269230769231</v>
      </c>
      <c r="M10" s="22" t="s">
        <v>58</v>
      </c>
      <c r="N10" s="28">
        <v>2325</v>
      </c>
      <c r="O10" s="28">
        <v>21802</v>
      </c>
      <c r="P10" s="28">
        <v>20259</v>
      </c>
      <c r="Q10" s="28">
        <v>1576.3436109724364</v>
      </c>
      <c r="R10" s="10"/>
      <c r="S10" s="16">
        <v>1.5</v>
      </c>
      <c r="T10" s="28">
        <v>3120</v>
      </c>
      <c r="U10" s="28">
        <v>13506</v>
      </c>
      <c r="V10" s="28">
        <v>6.493269230769231</v>
      </c>
    </row>
    <row r="11" spans="1:22" x14ac:dyDescent="0.25">
      <c r="A11" s="22" t="s">
        <v>59</v>
      </c>
      <c r="B11" s="23">
        <v>5425</v>
      </c>
      <c r="C11" s="24">
        <f>'[1]Summary-ALL'!E9</f>
        <v>74314</v>
      </c>
      <c r="D11" s="24">
        <v>48007</v>
      </c>
      <c r="E11" s="23">
        <f>B11*E33</f>
        <v>3678.1350922690185</v>
      </c>
      <c r="F11" s="23"/>
      <c r="G11" s="25">
        <f>[2]BranchSummary2014!X9</f>
        <v>2.5</v>
      </c>
      <c r="H11" s="24">
        <f>[2]BranchSummary2014!Y9</f>
        <v>5200</v>
      </c>
      <c r="I11" s="24">
        <f t="shared" si="0"/>
        <v>19202.8</v>
      </c>
      <c r="J11" s="24">
        <f t="shared" si="1"/>
        <v>9.2321153846153852</v>
      </c>
      <c r="M11" s="22" t="s">
        <v>59</v>
      </c>
      <c r="N11" s="28">
        <v>5425</v>
      </c>
      <c r="O11" s="28">
        <v>74314</v>
      </c>
      <c r="P11" s="28">
        <v>48007</v>
      </c>
      <c r="Q11" s="28">
        <v>3678.1350922690185</v>
      </c>
      <c r="R11" s="10"/>
      <c r="S11" s="16">
        <v>2.5</v>
      </c>
      <c r="T11" s="28">
        <v>5200</v>
      </c>
      <c r="U11" s="28">
        <v>19202.8</v>
      </c>
      <c r="V11" s="28">
        <v>9.2321153846153852</v>
      </c>
    </row>
    <row r="12" spans="1:22" x14ac:dyDescent="0.25">
      <c r="A12" s="22" t="s">
        <v>60</v>
      </c>
      <c r="B12" s="23">
        <v>13850</v>
      </c>
      <c r="C12" s="24">
        <f>'[1]Summary-ALL'!E10</f>
        <v>172543</v>
      </c>
      <c r="D12" s="24">
        <v>282531</v>
      </c>
      <c r="E12" s="23">
        <f>B12*E33</f>
        <v>9390.2619406315025</v>
      </c>
      <c r="F12" s="23"/>
      <c r="G12" s="25">
        <f>[2]BranchSummary2014!X10</f>
        <v>5.5</v>
      </c>
      <c r="H12" s="24">
        <f>[2]BranchSummary2014!Y10</f>
        <v>11440</v>
      </c>
      <c r="I12" s="24">
        <f t="shared" si="0"/>
        <v>51369.272727272728</v>
      </c>
      <c r="J12" s="24">
        <f t="shared" si="1"/>
        <v>24.696765734265735</v>
      </c>
      <c r="M12" s="22" t="s">
        <v>60</v>
      </c>
      <c r="N12" s="28">
        <v>13850</v>
      </c>
      <c r="O12" s="28">
        <v>172543</v>
      </c>
      <c r="P12" s="28">
        <v>282531</v>
      </c>
      <c r="Q12" s="28">
        <v>9390.2619406315025</v>
      </c>
      <c r="R12" s="10"/>
      <c r="S12" s="16">
        <v>5.5</v>
      </c>
      <c r="T12" s="28">
        <v>11440</v>
      </c>
      <c r="U12" s="28">
        <v>51369.272727272728</v>
      </c>
      <c r="V12" s="28">
        <v>24.696765734265735</v>
      </c>
    </row>
    <row r="13" spans="1:22" x14ac:dyDescent="0.25">
      <c r="A13" s="22" t="s">
        <v>61</v>
      </c>
      <c r="B13" s="23">
        <v>12000</v>
      </c>
      <c r="C13" s="24">
        <f>'[1]Summary-ALL'!E11</f>
        <v>121462</v>
      </c>
      <c r="D13" s="24">
        <v>246166</v>
      </c>
      <c r="E13" s="23">
        <f>B13*E33</f>
        <v>8135.9670243738656</v>
      </c>
      <c r="F13" s="23"/>
      <c r="G13" s="25">
        <f>[2]BranchSummary2014!X11</f>
        <v>4.5</v>
      </c>
      <c r="H13" s="24">
        <f>[2]BranchSummary2014!Y11</f>
        <v>9360</v>
      </c>
      <c r="I13" s="24">
        <f t="shared" si="0"/>
        <v>54703.555555555555</v>
      </c>
      <c r="J13" s="24">
        <f t="shared" si="1"/>
        <v>26.299786324786325</v>
      </c>
      <c r="M13" s="22" t="s">
        <v>61</v>
      </c>
      <c r="N13" s="28">
        <v>12000</v>
      </c>
      <c r="O13" s="28">
        <v>121462</v>
      </c>
      <c r="P13" s="28">
        <v>246166</v>
      </c>
      <c r="Q13" s="28">
        <v>8135.9670243738656</v>
      </c>
      <c r="R13" s="10"/>
      <c r="S13" s="16">
        <v>4.5</v>
      </c>
      <c r="T13" s="28">
        <v>9360</v>
      </c>
      <c r="U13" s="28">
        <v>54703.555555555555</v>
      </c>
      <c r="V13" s="28">
        <v>26.299786324786325</v>
      </c>
    </row>
    <row r="14" spans="1:22" x14ac:dyDescent="0.25">
      <c r="A14" s="22" t="s">
        <v>62</v>
      </c>
      <c r="B14" s="23">
        <v>19621</v>
      </c>
      <c r="C14" s="24">
        <f>'[1]Summary-ALL'!E12</f>
        <v>217788</v>
      </c>
      <c r="D14" s="24">
        <v>308830</v>
      </c>
      <c r="E14" s="23">
        <f>B14*E33</f>
        <v>13302.984082103301</v>
      </c>
      <c r="F14" s="23"/>
      <c r="G14" s="25">
        <f>[2]BranchSummary2014!X12</f>
        <v>3</v>
      </c>
      <c r="H14" s="24">
        <f>[2]BranchSummary2014!Y12</f>
        <v>6240</v>
      </c>
      <c r="I14" s="24">
        <f t="shared" si="0"/>
        <v>102943.33333333333</v>
      </c>
      <c r="J14" s="24">
        <f t="shared" si="1"/>
        <v>49.491987179487182</v>
      </c>
      <c r="M14" s="22" t="s">
        <v>62</v>
      </c>
      <c r="N14" s="28">
        <v>19621</v>
      </c>
      <c r="O14" s="28">
        <v>217788</v>
      </c>
      <c r="P14" s="28">
        <v>308830</v>
      </c>
      <c r="Q14" s="28">
        <v>13302.984082103301</v>
      </c>
      <c r="R14" s="10"/>
      <c r="S14" s="16">
        <v>3</v>
      </c>
      <c r="T14" s="28">
        <v>6240</v>
      </c>
      <c r="U14" s="28">
        <v>102943.33333333333</v>
      </c>
      <c r="V14" s="28">
        <v>49.491987179487182</v>
      </c>
    </row>
    <row r="15" spans="1:22" x14ac:dyDescent="0.25">
      <c r="A15" s="22" t="s">
        <v>63</v>
      </c>
      <c r="B15" s="23">
        <v>4225</v>
      </c>
      <c r="C15" s="24">
        <f>'[1]Summary-ALL'!E13</f>
        <v>75835</v>
      </c>
      <c r="D15" s="24">
        <v>129119</v>
      </c>
      <c r="E15" s="23">
        <f>B15*E33</f>
        <v>2864.5383898316318</v>
      </c>
      <c r="F15" s="23"/>
      <c r="G15" s="25">
        <f>[2]BranchSummary2014!X13</f>
        <v>3</v>
      </c>
      <c r="H15" s="24">
        <f>[2]BranchSummary2014!Y13</f>
        <v>6240</v>
      </c>
      <c r="I15" s="24">
        <f t="shared" si="0"/>
        <v>43039.666666666664</v>
      </c>
      <c r="J15" s="24">
        <f t="shared" si="1"/>
        <v>20.692147435897436</v>
      </c>
      <c r="M15" s="22" t="s">
        <v>63</v>
      </c>
      <c r="N15" s="28">
        <v>4225</v>
      </c>
      <c r="O15" s="28">
        <v>75835</v>
      </c>
      <c r="P15" s="28">
        <v>129119</v>
      </c>
      <c r="Q15" s="28">
        <v>2864.5383898316318</v>
      </c>
      <c r="R15" s="10"/>
      <c r="S15" s="16">
        <v>3</v>
      </c>
      <c r="T15" s="28">
        <v>6240</v>
      </c>
      <c r="U15" s="28">
        <v>43039.666666666664</v>
      </c>
      <c r="V15" s="28">
        <v>20.692147435897436</v>
      </c>
    </row>
    <row r="16" spans="1:22" x14ac:dyDescent="0.25">
      <c r="A16" s="22" t="s">
        <v>64</v>
      </c>
      <c r="B16" s="23">
        <v>1700</v>
      </c>
      <c r="C16" s="24">
        <f>'[1]Summary-ALL'!E14</f>
        <v>22347</v>
      </c>
      <c r="D16" s="24">
        <v>28325</v>
      </c>
      <c r="E16" s="23">
        <f>B16*E33</f>
        <v>1152.5953284529644</v>
      </c>
      <c r="F16" s="23"/>
      <c r="G16" s="25">
        <f>[2]BranchSummary2014!X14</f>
        <v>0</v>
      </c>
      <c r="H16" s="24">
        <f>[2]BranchSummary2014!Y14</f>
        <v>0</v>
      </c>
      <c r="I16" s="24">
        <v>0</v>
      </c>
      <c r="J16" s="24">
        <v>0</v>
      </c>
      <c r="M16" s="22" t="s">
        <v>64</v>
      </c>
      <c r="N16" s="28">
        <v>1700</v>
      </c>
      <c r="O16" s="28">
        <v>22347</v>
      </c>
      <c r="P16" s="28">
        <v>28325</v>
      </c>
      <c r="Q16" s="28">
        <v>1152.5953284529644</v>
      </c>
      <c r="R16" s="10"/>
      <c r="S16" s="16">
        <v>0</v>
      </c>
      <c r="T16" s="28">
        <v>0</v>
      </c>
      <c r="U16" s="28">
        <v>0</v>
      </c>
      <c r="V16" s="28">
        <v>0</v>
      </c>
    </row>
    <row r="17" spans="1:22" x14ac:dyDescent="0.25">
      <c r="A17" s="22" t="s">
        <v>65</v>
      </c>
      <c r="B17" s="23">
        <v>15078</v>
      </c>
      <c r="C17" s="24">
        <f>'[1]Summary-ALL'!E15</f>
        <v>102105</v>
      </c>
      <c r="D17" s="24">
        <v>103775</v>
      </c>
      <c r="E17" s="23">
        <f>B17*E33</f>
        <v>10222.842566125762</v>
      </c>
      <c r="F17" s="23"/>
      <c r="G17" s="25">
        <f>[2]BranchSummary2014!X15</f>
        <v>2.5</v>
      </c>
      <c r="H17" s="24">
        <f>[2]BranchSummary2014!Y15</f>
        <v>5200</v>
      </c>
      <c r="I17" s="24">
        <f t="shared" ref="I17:I30" si="2">D17/G17</f>
        <v>41510</v>
      </c>
      <c r="J17" s="24">
        <f t="shared" ref="J17:J30" si="3">D17/H17</f>
        <v>19.95673076923077</v>
      </c>
      <c r="M17" s="22" t="s">
        <v>65</v>
      </c>
      <c r="N17" s="28">
        <v>15078</v>
      </c>
      <c r="O17" s="28">
        <v>102105</v>
      </c>
      <c r="P17" s="28">
        <v>103775</v>
      </c>
      <c r="Q17" s="28">
        <v>10222.842566125762</v>
      </c>
      <c r="R17" s="10"/>
      <c r="S17" s="16">
        <v>2.5</v>
      </c>
      <c r="T17" s="28">
        <v>5200</v>
      </c>
      <c r="U17" s="28">
        <v>41510</v>
      </c>
      <c r="V17" s="28">
        <v>19.95673076923077</v>
      </c>
    </row>
    <row r="18" spans="1:22" x14ac:dyDescent="0.25">
      <c r="A18" s="22" t="s">
        <v>66</v>
      </c>
      <c r="B18" s="23">
        <v>2972</v>
      </c>
      <c r="C18" s="24">
        <f>'[1]Summary-ALL'!E16</f>
        <v>48161</v>
      </c>
      <c r="D18" s="24">
        <v>88685</v>
      </c>
      <c r="E18" s="23">
        <f>B18*E33</f>
        <v>2015.0078330365941</v>
      </c>
      <c r="F18" s="23"/>
      <c r="G18" s="25">
        <f>[2]BranchSummary2014!X16</f>
        <v>2</v>
      </c>
      <c r="H18" s="24">
        <f>[2]BranchSummary2014!Y16</f>
        <v>4160</v>
      </c>
      <c r="I18" s="24">
        <f t="shared" si="2"/>
        <v>44342.5</v>
      </c>
      <c r="J18" s="24">
        <f t="shared" si="3"/>
        <v>21.318509615384617</v>
      </c>
      <c r="M18" s="22" t="s">
        <v>66</v>
      </c>
      <c r="N18" s="28">
        <v>2972</v>
      </c>
      <c r="O18" s="28">
        <v>48161</v>
      </c>
      <c r="P18" s="28">
        <v>88685</v>
      </c>
      <c r="Q18" s="28">
        <v>2015.0078330365941</v>
      </c>
      <c r="R18" s="10"/>
      <c r="S18" s="16">
        <v>2</v>
      </c>
      <c r="T18" s="28">
        <v>4160</v>
      </c>
      <c r="U18" s="28">
        <v>44342.5</v>
      </c>
      <c r="V18" s="28">
        <v>21.318509615384617</v>
      </c>
    </row>
    <row r="19" spans="1:22" x14ac:dyDescent="0.25">
      <c r="A19" s="22" t="s">
        <v>67</v>
      </c>
      <c r="B19" s="23">
        <v>4681</v>
      </c>
      <c r="C19" s="24">
        <f>'[1]Summary-ALL'!E17</f>
        <v>111492</v>
      </c>
      <c r="D19" s="24">
        <v>139979</v>
      </c>
      <c r="E19" s="23">
        <f>B19*E33</f>
        <v>3173.7051367578388</v>
      </c>
      <c r="F19" s="23"/>
      <c r="G19" s="25">
        <f>[2]BranchSummary2014!X17</f>
        <v>3</v>
      </c>
      <c r="H19" s="24">
        <f>[2]BranchSummary2014!Y17</f>
        <v>6240</v>
      </c>
      <c r="I19" s="24">
        <f t="shared" si="2"/>
        <v>46659.666666666664</v>
      </c>
      <c r="J19" s="24">
        <f t="shared" si="3"/>
        <v>22.432532051282053</v>
      </c>
      <c r="M19" s="22" t="s">
        <v>67</v>
      </c>
      <c r="N19" s="28">
        <v>4681</v>
      </c>
      <c r="O19" s="28">
        <v>111492</v>
      </c>
      <c r="P19" s="28">
        <v>139979</v>
      </c>
      <c r="Q19" s="28">
        <v>3173.7051367578388</v>
      </c>
      <c r="R19" s="10"/>
      <c r="S19" s="16">
        <v>3</v>
      </c>
      <c r="T19" s="28">
        <v>6240</v>
      </c>
      <c r="U19" s="28">
        <v>46659.666666666664</v>
      </c>
      <c r="V19" s="28">
        <v>22.432532051282053</v>
      </c>
    </row>
    <row r="20" spans="1:22" x14ac:dyDescent="0.25">
      <c r="A20" s="22" t="s">
        <v>68</v>
      </c>
      <c r="B20" s="23">
        <v>12890</v>
      </c>
      <c r="C20" s="24">
        <f>'[1]Summary-ALL'!E18</f>
        <v>159748</v>
      </c>
      <c r="D20" s="24">
        <v>247578</v>
      </c>
      <c r="E20" s="23">
        <f>B20*E33</f>
        <v>8739.3845786815946</v>
      </c>
      <c r="F20" s="23"/>
      <c r="G20" s="25">
        <f>[2]BranchSummary2014!X18</f>
        <v>4.5</v>
      </c>
      <c r="H20" s="24">
        <f>[2]BranchSummary2014!Y18</f>
        <v>9360</v>
      </c>
      <c r="I20" s="24">
        <f t="shared" si="2"/>
        <v>55017.333333333336</v>
      </c>
      <c r="J20" s="24">
        <f t="shared" si="3"/>
        <v>26.450641025641026</v>
      </c>
      <c r="M20" s="22" t="s">
        <v>68</v>
      </c>
      <c r="N20" s="28">
        <v>12890</v>
      </c>
      <c r="O20" s="28">
        <v>159748</v>
      </c>
      <c r="P20" s="28">
        <v>247578</v>
      </c>
      <c r="Q20" s="28">
        <v>8739.3845786815946</v>
      </c>
      <c r="R20" s="10"/>
      <c r="S20" s="16">
        <v>4.5</v>
      </c>
      <c r="T20" s="28">
        <v>9360</v>
      </c>
      <c r="U20" s="28">
        <v>55017.333333333336</v>
      </c>
      <c r="V20" s="28">
        <v>26.450641025641026</v>
      </c>
    </row>
    <row r="21" spans="1:22" x14ac:dyDescent="0.25">
      <c r="A21" s="22" t="s">
        <v>69</v>
      </c>
      <c r="B21" s="23">
        <v>22645</v>
      </c>
      <c r="C21" s="24">
        <f>'[1]Summary-ALL'!E19</f>
        <v>191144</v>
      </c>
      <c r="D21" s="24">
        <v>225245</v>
      </c>
      <c r="E21" s="23">
        <f>B21*E33</f>
        <v>15353.247772245515</v>
      </c>
      <c r="F21" s="23"/>
      <c r="G21" s="25">
        <f>[2]BranchSummary2014!X19</f>
        <v>3.5</v>
      </c>
      <c r="H21" s="24">
        <f>[2]BranchSummary2014!Y19</f>
        <v>7280</v>
      </c>
      <c r="I21" s="24">
        <f t="shared" si="2"/>
        <v>64355.714285714283</v>
      </c>
      <c r="J21" s="24">
        <f t="shared" si="3"/>
        <v>30.940247252747252</v>
      </c>
      <c r="M21" s="22" t="s">
        <v>69</v>
      </c>
      <c r="N21" s="28">
        <v>22645</v>
      </c>
      <c r="O21" s="28">
        <v>191144</v>
      </c>
      <c r="P21" s="28">
        <v>225245</v>
      </c>
      <c r="Q21" s="28">
        <v>15353.247772245515</v>
      </c>
      <c r="R21" s="10"/>
      <c r="S21" s="16">
        <v>3.5</v>
      </c>
      <c r="T21" s="28">
        <v>7280</v>
      </c>
      <c r="U21" s="28">
        <v>64355.714285714283</v>
      </c>
      <c r="V21" s="28">
        <v>30.940247252747252</v>
      </c>
    </row>
    <row r="22" spans="1:22" x14ac:dyDescent="0.25">
      <c r="A22" s="22" t="s">
        <v>70</v>
      </c>
      <c r="B22" s="23">
        <v>4000</v>
      </c>
      <c r="C22" s="24">
        <f>'[1]Summary-ALL'!E20</f>
        <v>87818</v>
      </c>
      <c r="D22" s="24">
        <v>60912</v>
      </c>
      <c r="E22" s="23">
        <f>B22*E33</f>
        <v>2711.9890081246217</v>
      </c>
      <c r="F22" s="23"/>
      <c r="G22" s="25">
        <f>[2]BranchSummary2014!X20</f>
        <v>2</v>
      </c>
      <c r="H22" s="24">
        <f>[2]BranchSummary2014!Y20</f>
        <v>4160</v>
      </c>
      <c r="I22" s="24">
        <f t="shared" si="2"/>
        <v>30456</v>
      </c>
      <c r="J22" s="24">
        <f t="shared" si="3"/>
        <v>14.642307692307693</v>
      </c>
      <c r="M22" s="22" t="s">
        <v>70</v>
      </c>
      <c r="N22" s="28">
        <v>4000</v>
      </c>
      <c r="O22" s="28">
        <v>87818</v>
      </c>
      <c r="P22" s="28">
        <v>60912</v>
      </c>
      <c r="Q22" s="28">
        <v>2711.9890081246217</v>
      </c>
      <c r="R22" s="10"/>
      <c r="S22" s="16">
        <v>2</v>
      </c>
      <c r="T22" s="28">
        <v>4160</v>
      </c>
      <c r="U22" s="28">
        <v>30456</v>
      </c>
      <c r="V22" s="28">
        <v>14.642307692307693</v>
      </c>
    </row>
    <row r="23" spans="1:22" x14ac:dyDescent="0.25">
      <c r="A23" s="22" t="s">
        <v>71</v>
      </c>
      <c r="B23" s="23">
        <v>4320</v>
      </c>
      <c r="C23" s="24">
        <f>'[1]Summary-ALL'!E21</f>
        <v>70971</v>
      </c>
      <c r="D23" s="24">
        <v>101994</v>
      </c>
      <c r="E23" s="23">
        <f>B23*E33</f>
        <v>2928.9481287745916</v>
      </c>
      <c r="F23" s="23"/>
      <c r="G23" s="25">
        <f>[2]BranchSummary2014!X21</f>
        <v>2</v>
      </c>
      <c r="H23" s="24">
        <f>[2]BranchSummary2014!Y21</f>
        <v>4160</v>
      </c>
      <c r="I23" s="24">
        <f t="shared" si="2"/>
        <v>50997</v>
      </c>
      <c r="J23" s="24">
        <f t="shared" si="3"/>
        <v>24.517788461538462</v>
      </c>
      <c r="M23" s="22" t="s">
        <v>71</v>
      </c>
      <c r="N23" s="28">
        <v>4320</v>
      </c>
      <c r="O23" s="28">
        <v>70971</v>
      </c>
      <c r="P23" s="28">
        <v>101994</v>
      </c>
      <c r="Q23" s="28">
        <v>2928.9481287745916</v>
      </c>
      <c r="R23" s="10"/>
      <c r="S23" s="16">
        <v>2</v>
      </c>
      <c r="T23" s="28">
        <v>4160</v>
      </c>
      <c r="U23" s="28">
        <v>50997</v>
      </c>
      <c r="V23" s="28">
        <v>24.517788461538462</v>
      </c>
    </row>
    <row r="24" spans="1:22" x14ac:dyDescent="0.25">
      <c r="A24" s="22" t="s">
        <v>72</v>
      </c>
      <c r="B24" s="23">
        <v>15000</v>
      </c>
      <c r="C24" s="24">
        <f>'[1]Summary-ALL'!E22</f>
        <v>154583</v>
      </c>
      <c r="D24" s="24">
        <v>179392</v>
      </c>
      <c r="E24" s="23">
        <f>B24*E33</f>
        <v>10169.958780467332</v>
      </c>
      <c r="F24" s="23"/>
      <c r="G24" s="25">
        <f>[2]BranchSummary2014!X22</f>
        <v>3</v>
      </c>
      <c r="H24" s="24">
        <f>[2]BranchSummary2014!Y22</f>
        <v>6240</v>
      </c>
      <c r="I24" s="24">
        <f t="shared" si="2"/>
        <v>59797.333333333336</v>
      </c>
      <c r="J24" s="24">
        <f t="shared" si="3"/>
        <v>28.74871794871795</v>
      </c>
      <c r="M24" s="22" t="s">
        <v>72</v>
      </c>
      <c r="N24" s="28">
        <v>15000</v>
      </c>
      <c r="O24" s="28">
        <v>154583</v>
      </c>
      <c r="P24" s="28">
        <v>179392</v>
      </c>
      <c r="Q24" s="28">
        <v>10169.958780467332</v>
      </c>
      <c r="R24" s="10"/>
      <c r="S24" s="16">
        <v>3</v>
      </c>
      <c r="T24" s="28">
        <v>6240</v>
      </c>
      <c r="U24" s="28">
        <v>59797.333333333336</v>
      </c>
      <c r="V24" s="28">
        <v>28.74871794871795</v>
      </c>
    </row>
    <row r="25" spans="1:22" x14ac:dyDescent="0.25">
      <c r="A25" s="22" t="s">
        <v>73</v>
      </c>
      <c r="B25" s="23">
        <v>12500</v>
      </c>
      <c r="C25" s="24">
        <f>'[1]Summary-ALL'!E23</f>
        <v>160001</v>
      </c>
      <c r="D25" s="24">
        <v>289211</v>
      </c>
      <c r="E25" s="23">
        <f>B25*E33</f>
        <v>8474.9656503894439</v>
      </c>
      <c r="F25" s="23"/>
      <c r="G25" s="25">
        <f>[2]BranchSummary2014!X23</f>
        <v>2.5</v>
      </c>
      <c r="H25" s="24">
        <f>[2]BranchSummary2014!Y23</f>
        <v>5200</v>
      </c>
      <c r="I25" s="24">
        <f t="shared" si="2"/>
        <v>115684.4</v>
      </c>
      <c r="J25" s="24">
        <f t="shared" si="3"/>
        <v>55.6175</v>
      </c>
      <c r="M25" s="22" t="s">
        <v>73</v>
      </c>
      <c r="N25" s="28">
        <v>12500</v>
      </c>
      <c r="O25" s="28">
        <v>160001</v>
      </c>
      <c r="P25" s="28">
        <v>289211</v>
      </c>
      <c r="Q25" s="28">
        <v>8474.9656503894439</v>
      </c>
      <c r="R25" s="10"/>
      <c r="S25" s="16">
        <v>2.5</v>
      </c>
      <c r="T25" s="28">
        <v>5200</v>
      </c>
      <c r="U25" s="28">
        <v>115684.4</v>
      </c>
      <c r="V25" s="28">
        <v>55.6175</v>
      </c>
    </row>
    <row r="26" spans="1:22" x14ac:dyDescent="0.25">
      <c r="A26" s="22" t="s">
        <v>74</v>
      </c>
      <c r="B26" s="23">
        <v>7778</v>
      </c>
      <c r="C26" s="24">
        <f>'[1]Summary-ALL'!E24</f>
        <v>36021</v>
      </c>
      <c r="D26" s="24">
        <v>45080</v>
      </c>
      <c r="E26" s="23">
        <f>B26*E33</f>
        <v>5273.4626262983275</v>
      </c>
      <c r="F26" s="23"/>
      <c r="G26" s="25">
        <f>[2]BranchSummary2014!X24</f>
        <v>2.5</v>
      </c>
      <c r="H26" s="24">
        <f>[2]BranchSummary2014!Y24</f>
        <v>5200</v>
      </c>
      <c r="I26" s="24">
        <f t="shared" si="2"/>
        <v>18032</v>
      </c>
      <c r="J26" s="24">
        <f t="shared" si="3"/>
        <v>8.6692307692307686</v>
      </c>
      <c r="M26" s="22" t="s">
        <v>74</v>
      </c>
      <c r="N26" s="28">
        <v>7778</v>
      </c>
      <c r="O26" s="28">
        <v>36021</v>
      </c>
      <c r="P26" s="28">
        <v>45080</v>
      </c>
      <c r="Q26" s="28">
        <v>5273.4626262983275</v>
      </c>
      <c r="R26" s="10"/>
      <c r="S26" s="16">
        <v>2.5</v>
      </c>
      <c r="T26" s="28">
        <v>5200</v>
      </c>
      <c r="U26" s="28">
        <v>18032</v>
      </c>
      <c r="V26" s="28">
        <v>8.6692307692307686</v>
      </c>
    </row>
    <row r="27" spans="1:22" x14ac:dyDescent="0.25">
      <c r="A27" s="22" t="s">
        <v>75</v>
      </c>
      <c r="B27" s="23">
        <v>13615</v>
      </c>
      <c r="C27" s="24">
        <f>'[1]Summary-ALL'!E25</f>
        <v>150374</v>
      </c>
      <c r="D27" s="24">
        <v>174972</v>
      </c>
      <c r="E27" s="23">
        <f>B27*E33</f>
        <v>9230.9325864041821</v>
      </c>
      <c r="F27" s="23"/>
      <c r="G27" s="25">
        <f>[2]BranchSummary2014!X25</f>
        <v>2.5</v>
      </c>
      <c r="H27" s="24">
        <f>[2]BranchSummary2014!Y25</f>
        <v>5200</v>
      </c>
      <c r="I27" s="24">
        <f t="shared" si="2"/>
        <v>69988.800000000003</v>
      </c>
      <c r="J27" s="24">
        <f t="shared" si="3"/>
        <v>33.64846153846154</v>
      </c>
      <c r="M27" s="22" t="s">
        <v>75</v>
      </c>
      <c r="N27" s="28">
        <v>13615</v>
      </c>
      <c r="O27" s="28">
        <v>150374</v>
      </c>
      <c r="P27" s="28">
        <v>174972</v>
      </c>
      <c r="Q27" s="28">
        <v>9230.9325864041821</v>
      </c>
      <c r="R27" s="10"/>
      <c r="S27" s="16">
        <v>2.5</v>
      </c>
      <c r="T27" s="28">
        <v>5200</v>
      </c>
      <c r="U27" s="28">
        <v>69988.800000000003</v>
      </c>
      <c r="V27" s="28">
        <v>33.64846153846154</v>
      </c>
    </row>
    <row r="28" spans="1:22" x14ac:dyDescent="0.25">
      <c r="A28" s="22" t="s">
        <v>76</v>
      </c>
      <c r="B28" s="23">
        <v>12000</v>
      </c>
      <c r="C28" s="24">
        <f>'[1]Summary-ALL'!E26</f>
        <v>142203</v>
      </c>
      <c r="D28" s="24">
        <v>154278</v>
      </c>
      <c r="E28" s="23">
        <f>B28*E33</f>
        <v>8135.9670243738656</v>
      </c>
      <c r="F28" s="23"/>
      <c r="G28" s="25">
        <f>[2]BranchSummary2014!X26</f>
        <v>3.5</v>
      </c>
      <c r="H28" s="24">
        <f>[2]BranchSummary2014!Y26</f>
        <v>7280</v>
      </c>
      <c r="I28" s="24">
        <f t="shared" si="2"/>
        <v>44079.428571428572</v>
      </c>
      <c r="J28" s="24">
        <f t="shared" si="3"/>
        <v>21.192032967032969</v>
      </c>
      <c r="M28" s="22" t="s">
        <v>76</v>
      </c>
      <c r="N28" s="28">
        <v>12000</v>
      </c>
      <c r="O28" s="28">
        <v>142203</v>
      </c>
      <c r="P28" s="28">
        <v>154278</v>
      </c>
      <c r="Q28" s="28">
        <v>8135.9670243738656</v>
      </c>
      <c r="R28" s="10"/>
      <c r="S28" s="16">
        <v>3.5</v>
      </c>
      <c r="T28" s="28">
        <v>7280</v>
      </c>
      <c r="U28" s="28">
        <v>44079.428571428572</v>
      </c>
      <c r="V28" s="28">
        <v>21.192032967032969</v>
      </c>
    </row>
    <row r="29" spans="1:22" x14ac:dyDescent="0.25">
      <c r="A29" s="22" t="s">
        <v>77</v>
      </c>
      <c r="B29" s="23">
        <v>12500</v>
      </c>
      <c r="C29" s="24">
        <f>'[1]Summary-ALL'!E27</f>
        <v>175507</v>
      </c>
      <c r="D29" s="24">
        <v>270500</v>
      </c>
      <c r="E29" s="23">
        <f>B29*E33</f>
        <v>8474.9656503894439</v>
      </c>
      <c r="F29" s="23"/>
      <c r="G29" s="25">
        <f>[2]BranchSummary2014!X27</f>
        <v>4.5</v>
      </c>
      <c r="H29" s="24">
        <f>[2]BranchSummary2014!Y27</f>
        <v>9360</v>
      </c>
      <c r="I29" s="24">
        <f t="shared" si="2"/>
        <v>60111.111111111109</v>
      </c>
      <c r="J29" s="24">
        <f t="shared" si="3"/>
        <v>28.899572649572651</v>
      </c>
      <c r="M29" s="22" t="s">
        <v>77</v>
      </c>
      <c r="N29" s="28">
        <v>12500</v>
      </c>
      <c r="O29" s="28">
        <v>175507</v>
      </c>
      <c r="P29" s="28">
        <v>270500</v>
      </c>
      <c r="Q29" s="28">
        <v>8474.9656503894439</v>
      </c>
      <c r="R29" s="10"/>
      <c r="S29" s="16">
        <v>4.5</v>
      </c>
      <c r="T29" s="28">
        <v>9360</v>
      </c>
      <c r="U29" s="28">
        <v>60111.111111111109</v>
      </c>
      <c r="V29" s="28">
        <v>28.899572649572651</v>
      </c>
    </row>
    <row r="30" spans="1:22" x14ac:dyDescent="0.25">
      <c r="A30" s="22" t="s">
        <v>78</v>
      </c>
      <c r="B30" s="23">
        <v>20505</v>
      </c>
      <c r="C30" s="24">
        <f>'[1]Summary-ALL'!E28</f>
        <v>205843.33333333334</v>
      </c>
      <c r="D30" s="26">
        <v>286167</v>
      </c>
      <c r="E30" s="23">
        <f>B30*E33</f>
        <v>13902.333652898842</v>
      </c>
      <c r="F30" s="23"/>
      <c r="G30" s="25">
        <f>[2]BranchSummary2014!X28</f>
        <v>3.5</v>
      </c>
      <c r="H30" s="24">
        <f>[2]BranchSummary2014!Y28</f>
        <v>7280</v>
      </c>
      <c r="I30" s="24">
        <f t="shared" si="2"/>
        <v>81762</v>
      </c>
      <c r="J30" s="24">
        <f t="shared" si="3"/>
        <v>39.308653846153845</v>
      </c>
      <c r="M30" s="22" t="s">
        <v>78</v>
      </c>
      <c r="N30" s="28">
        <v>20505</v>
      </c>
      <c r="O30" s="28">
        <v>205843.33333333334</v>
      </c>
      <c r="P30" s="28">
        <v>286167</v>
      </c>
      <c r="Q30" s="28">
        <v>13902.333652898842</v>
      </c>
      <c r="R30" s="10"/>
      <c r="S30" s="16">
        <v>3.5</v>
      </c>
      <c r="T30" s="28">
        <v>7280</v>
      </c>
      <c r="U30" s="28">
        <v>81762</v>
      </c>
      <c r="V30" s="28">
        <v>39.308653846153845</v>
      </c>
    </row>
    <row r="31" spans="1:22" x14ac:dyDescent="0.25">
      <c r="A31" s="22" t="s">
        <v>79</v>
      </c>
      <c r="B31" s="23">
        <v>3580</v>
      </c>
      <c r="C31" s="24">
        <f>'[1]Summary-ALL'!E29</f>
        <v>23223</v>
      </c>
      <c r="D31" s="26">
        <v>22735</v>
      </c>
      <c r="E31" s="23">
        <f>B31*E33</f>
        <v>2427.2301622715368</v>
      </c>
      <c r="F31" s="23"/>
      <c r="G31" s="25">
        <f>[2]BranchSummary2014!X29</f>
        <v>0</v>
      </c>
      <c r="H31" s="24">
        <f>[2]BranchSummary2014!Y29</f>
        <v>0</v>
      </c>
      <c r="I31" s="24">
        <v>0</v>
      </c>
      <c r="J31" s="24">
        <v>0</v>
      </c>
      <c r="M31" s="22" t="s">
        <v>79</v>
      </c>
      <c r="N31" s="28">
        <v>3580</v>
      </c>
      <c r="O31" s="28">
        <v>23223</v>
      </c>
      <c r="P31" s="28">
        <v>22735</v>
      </c>
      <c r="Q31" s="28">
        <v>2427.2301622715368</v>
      </c>
      <c r="R31" s="10"/>
      <c r="S31" s="16">
        <v>0</v>
      </c>
      <c r="T31" s="28">
        <v>0</v>
      </c>
      <c r="U31" s="28">
        <v>0</v>
      </c>
      <c r="V31" s="28">
        <v>0</v>
      </c>
    </row>
    <row r="32" spans="1:22" x14ac:dyDescent="0.25">
      <c r="A32" s="11" t="s">
        <v>14</v>
      </c>
      <c r="B32" s="12">
        <f>SUM(B4:B31)</f>
        <v>452698</v>
      </c>
      <c r="C32" s="12">
        <f>SUM(C4:C31)</f>
        <v>3716963.3333333335</v>
      </c>
      <c r="D32" s="12">
        <f>SUM(D4:D31)</f>
        <v>5063848</v>
      </c>
      <c r="E32" s="12">
        <v>306928</v>
      </c>
      <c r="F32" s="12"/>
      <c r="G32" s="6">
        <f>SUM(G4:G31)</f>
        <v>97.5</v>
      </c>
      <c r="H32" s="27">
        <f>SUM(H4:H31)</f>
        <v>202800</v>
      </c>
      <c r="I32" s="27">
        <f>SUM(I4:I31)</f>
        <v>1403674.4108225107</v>
      </c>
      <c r="J32" s="27">
        <f>SUM(J4:J31)</f>
        <v>674.84346674159178</v>
      </c>
      <c r="M32" s="10" t="s">
        <v>14</v>
      </c>
      <c r="N32" s="28">
        <v>452698</v>
      </c>
      <c r="O32" s="28">
        <v>3716963.3333333335</v>
      </c>
      <c r="P32" s="28">
        <v>5063848</v>
      </c>
      <c r="Q32" s="28">
        <v>306928</v>
      </c>
      <c r="R32" s="10"/>
      <c r="S32" s="16">
        <v>97.5</v>
      </c>
      <c r="T32" s="28">
        <v>202800</v>
      </c>
      <c r="U32" s="28">
        <v>1403674.4108225107</v>
      </c>
      <c r="V32" s="28">
        <v>674.84346674159178</v>
      </c>
    </row>
    <row r="33" spans="1:22" x14ac:dyDescent="0.25">
      <c r="A33" s="14"/>
      <c r="B33" s="13"/>
      <c r="C33" s="8"/>
      <c r="D33" s="8"/>
      <c r="E33" s="15">
        <f>E32/B32</f>
        <v>0.67799725203115546</v>
      </c>
      <c r="F33" s="8"/>
      <c r="G33" s="8"/>
      <c r="H33" s="8"/>
      <c r="I33" s="8"/>
      <c r="J33" s="8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8"/>
      <c r="C34" s="8"/>
      <c r="D34" s="8"/>
      <c r="E34" s="8"/>
      <c r="F34" s="8"/>
      <c r="G34" s="8"/>
      <c r="H34" s="8"/>
      <c r="I34" s="8"/>
      <c r="J34" s="8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8"/>
      <c r="C35" s="8"/>
      <c r="D35" s="8"/>
      <c r="E35" s="8"/>
      <c r="F35" s="8"/>
      <c r="G35" s="8"/>
      <c r="H35" s="8"/>
      <c r="I35" s="8"/>
      <c r="J35" s="8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17" t="s">
        <v>15</v>
      </c>
      <c r="B36" s="18">
        <f>MIN(B4:B31)</f>
        <v>1700</v>
      </c>
      <c r="C36" s="13">
        <f>MIN(C4:C31)</f>
        <v>21802</v>
      </c>
      <c r="D36" s="19">
        <f>MIN(D4:D31)</f>
        <v>20259</v>
      </c>
      <c r="E36" s="13">
        <f>MIN(E4:E31)</f>
        <v>1152.5953284529644</v>
      </c>
      <c r="F36" s="8"/>
      <c r="G36" s="13">
        <f>MIN(G4:G31)</f>
        <v>0</v>
      </c>
      <c r="H36" s="13">
        <f>MIN(H4:H31)</f>
        <v>0</v>
      </c>
      <c r="I36" s="13">
        <f>MIN(I4:I31)</f>
        <v>0</v>
      </c>
      <c r="J36" s="13">
        <f>MIN(J4:J31)</f>
        <v>0</v>
      </c>
      <c r="M36" s="67" t="s">
        <v>15</v>
      </c>
      <c r="N36" s="69"/>
      <c r="O36" s="69"/>
      <c r="P36" s="69"/>
      <c r="Q36" s="69"/>
      <c r="R36" s="10"/>
      <c r="S36" s="69"/>
      <c r="T36" s="69"/>
      <c r="U36" s="69"/>
      <c r="V36" s="69"/>
    </row>
    <row r="37" spans="1:22" x14ac:dyDescent="0.25">
      <c r="A37" s="17" t="s">
        <v>16</v>
      </c>
      <c r="B37" s="18">
        <f>AVERAGE(B4:B31)</f>
        <v>16167.785714285714</v>
      </c>
      <c r="C37" s="13">
        <f>AVERAGE(C4:C31)</f>
        <v>132748.69047619047</v>
      </c>
      <c r="D37" s="19">
        <f>AVERAGE(D4:D31)</f>
        <v>180851.71428571429</v>
      </c>
      <c r="E37" s="13">
        <f>AVERAGE(E4:E31)</f>
        <v>10961.714285714288</v>
      </c>
      <c r="F37" s="8"/>
      <c r="G37" s="13">
        <f>AVERAGE(G4:G31)</f>
        <v>3.4821428571428572</v>
      </c>
      <c r="H37" s="13">
        <f>AVERAGE(H4:H31)</f>
        <v>7242.8571428571431</v>
      </c>
      <c r="I37" s="13">
        <f>AVERAGE(I4:I31)</f>
        <v>50131.228957946812</v>
      </c>
      <c r="J37" s="13">
        <f>AVERAGE(J4:J31)</f>
        <v>24.101552383628277</v>
      </c>
      <c r="M37" s="67" t="s">
        <v>16</v>
      </c>
      <c r="N37" s="69"/>
      <c r="O37" s="69"/>
      <c r="P37" s="69"/>
      <c r="Q37" s="69"/>
      <c r="R37" s="10"/>
      <c r="S37" s="69"/>
      <c r="T37" s="69"/>
      <c r="U37" s="69"/>
      <c r="V37" s="69"/>
    </row>
    <row r="38" spans="1:22" x14ac:dyDescent="0.25">
      <c r="A38" s="17" t="s">
        <v>17</v>
      </c>
      <c r="B38" s="18">
        <f>MAX(B4:B31)</f>
        <v>160000</v>
      </c>
      <c r="C38" s="13">
        <f>MAX(C4:C31)</f>
        <v>347673</v>
      </c>
      <c r="D38" s="19">
        <f>MAX(D4:D31)</f>
        <v>396789</v>
      </c>
      <c r="E38" s="13">
        <f>MAX(E4:E31)</f>
        <v>108479.56032498488</v>
      </c>
      <c r="F38" s="8"/>
      <c r="G38" s="13">
        <f>MAX(G4:G31)</f>
        <v>15</v>
      </c>
      <c r="H38" s="13">
        <f>MAX(H4:H31)</f>
        <v>31200</v>
      </c>
      <c r="I38" s="13">
        <f>MAX(I4:I31)</f>
        <v>115684.4</v>
      </c>
      <c r="J38" s="13">
        <f>MAX(J4:J31)</f>
        <v>55.6175</v>
      </c>
      <c r="M38" s="67" t="s">
        <v>17</v>
      </c>
      <c r="N38" s="69"/>
      <c r="O38" s="69"/>
      <c r="P38" s="69"/>
      <c r="Q38" s="69"/>
      <c r="R38" s="10"/>
      <c r="S38" s="69"/>
      <c r="T38" s="69"/>
      <c r="U38" s="69"/>
      <c r="V38" s="69"/>
    </row>
    <row r="39" spans="1:22" x14ac:dyDescent="0.25">
      <c r="A39" s="17" t="s">
        <v>18</v>
      </c>
      <c r="B39" s="18">
        <f>MEDIAN(B4:B31)</f>
        <v>12105.5</v>
      </c>
      <c r="C39" s="13">
        <f>MEDIAN(C4:C31)</f>
        <v>139835</v>
      </c>
      <c r="D39" s="19">
        <f>MEDIAN(D4:D31)</f>
        <v>173064.5</v>
      </c>
      <c r="E39" s="13">
        <f>MEDIAN(E4:E31)</f>
        <v>8207.4957344631512</v>
      </c>
      <c r="F39" s="8"/>
      <c r="G39" s="13">
        <f>MEDIAN(G4:G31)</f>
        <v>3</v>
      </c>
      <c r="H39" s="13">
        <f>MEDIAN(H4:H31)</f>
        <v>6240</v>
      </c>
      <c r="I39" s="13">
        <f>MEDIAN(I4:I31)</f>
        <v>51183.136363636368</v>
      </c>
      <c r="J39" s="13">
        <f>MEDIAN(J4:J31)</f>
        <v>24.607277097902099</v>
      </c>
      <c r="M39" s="67" t="s">
        <v>18</v>
      </c>
      <c r="N39" s="69"/>
      <c r="O39" s="69"/>
      <c r="P39" s="69"/>
      <c r="Q39" s="69"/>
      <c r="R39" s="10"/>
      <c r="S39" s="69"/>
      <c r="T39" s="69"/>
      <c r="U39" s="69"/>
      <c r="V39" s="69"/>
    </row>
    <row r="40" spans="1:22" x14ac:dyDescent="0.25">
      <c r="A40" s="20" t="s">
        <v>19</v>
      </c>
      <c r="B40" s="18">
        <f>B21</f>
        <v>22645</v>
      </c>
      <c r="C40" s="13">
        <f>C6</f>
        <v>232949</v>
      </c>
      <c r="D40" s="21" t="s">
        <v>20</v>
      </c>
      <c r="E40" s="8"/>
      <c r="F40" s="8"/>
      <c r="G40" s="8"/>
      <c r="H40" s="8"/>
      <c r="I40" s="8"/>
      <c r="J40" s="8"/>
      <c r="M40" s="68" t="s">
        <v>19</v>
      </c>
      <c r="N40" s="69"/>
      <c r="O40" s="69"/>
      <c r="P40" s="69"/>
      <c r="Q40" s="69"/>
      <c r="R40" s="10"/>
      <c r="S40" s="69"/>
      <c r="T40" s="69"/>
      <c r="U40" s="69"/>
      <c r="V40" s="69"/>
    </row>
    <row r="41" spans="1:22" x14ac:dyDescent="0.25">
      <c r="A41" s="17" t="s">
        <v>21</v>
      </c>
      <c r="B41" s="18">
        <f>B40/4</f>
        <v>5661.25</v>
      </c>
      <c r="C41" s="13">
        <f>C40/4</f>
        <v>58237.25</v>
      </c>
      <c r="D41" s="19">
        <f>D38/4</f>
        <v>99197.25</v>
      </c>
      <c r="E41" s="19">
        <f>E38/4</f>
        <v>27119.89008124622</v>
      </c>
      <c r="F41" s="8"/>
      <c r="G41" s="19">
        <f>G38/4</f>
        <v>3.75</v>
      </c>
      <c r="H41" s="19">
        <f>H38/4</f>
        <v>7800</v>
      </c>
      <c r="I41" s="19">
        <f>I38/4</f>
        <v>28921.1</v>
      </c>
      <c r="J41" s="19">
        <f>J38/4</f>
        <v>13.904375</v>
      </c>
      <c r="M41" s="67" t="s">
        <v>21</v>
      </c>
      <c r="N41" s="69"/>
      <c r="O41" s="69"/>
      <c r="P41" s="69"/>
      <c r="Q41" s="69"/>
      <c r="R41" s="10"/>
      <c r="S41" s="69"/>
      <c r="T41" s="69"/>
      <c r="U41" s="69"/>
      <c r="V41" s="69"/>
    </row>
    <row r="42" spans="1:22" x14ac:dyDescent="0.25">
      <c r="A42" s="17" t="s">
        <v>22</v>
      </c>
      <c r="B42" s="18">
        <f>B41*2</f>
        <v>11322.5</v>
      </c>
      <c r="C42" s="13">
        <f>C41*2</f>
        <v>116474.5</v>
      </c>
      <c r="D42" s="19">
        <f>D41*2</f>
        <v>198394.5</v>
      </c>
      <c r="E42" s="19">
        <f>E41*2</f>
        <v>54239.78016249244</v>
      </c>
      <c r="F42" s="8"/>
      <c r="G42" s="19">
        <f>G41*2</f>
        <v>7.5</v>
      </c>
      <c r="H42" s="19">
        <f>H41*2</f>
        <v>15600</v>
      </c>
      <c r="I42" s="19">
        <f>I41*2</f>
        <v>57842.2</v>
      </c>
      <c r="J42" s="19">
        <f>J41*2</f>
        <v>27.80875</v>
      </c>
      <c r="M42" s="67" t="s">
        <v>22</v>
      </c>
      <c r="N42" s="69"/>
      <c r="O42" s="69"/>
      <c r="P42" s="69"/>
      <c r="Q42" s="69"/>
      <c r="R42" s="10"/>
      <c r="S42" s="69"/>
      <c r="T42" s="69"/>
      <c r="U42" s="69"/>
      <c r="V42" s="69"/>
    </row>
    <row r="43" spans="1:22" x14ac:dyDescent="0.25">
      <c r="A43" s="17" t="s">
        <v>23</v>
      </c>
      <c r="B43" s="18">
        <f>B41*3</f>
        <v>16983.75</v>
      </c>
      <c r="C43" s="13">
        <f>C41*3</f>
        <v>174711.75</v>
      </c>
      <c r="D43" s="19">
        <f>D41*3</f>
        <v>297591.75</v>
      </c>
      <c r="E43" s="19">
        <f>E41*3</f>
        <v>81359.670243738656</v>
      </c>
      <c r="F43" s="8"/>
      <c r="G43" s="19">
        <f>G41*3</f>
        <v>11.25</v>
      </c>
      <c r="H43" s="19">
        <f>H41*3</f>
        <v>23400</v>
      </c>
      <c r="I43" s="19">
        <f>I41*3</f>
        <v>86763.299999999988</v>
      </c>
      <c r="J43" s="19">
        <f>J41*3</f>
        <v>41.713124999999998</v>
      </c>
      <c r="M43" s="67" t="s">
        <v>23</v>
      </c>
      <c r="N43" s="69"/>
      <c r="O43" s="69"/>
      <c r="P43" s="69"/>
      <c r="Q43" s="69"/>
      <c r="R43" s="10"/>
      <c r="S43" s="69"/>
      <c r="T43" s="69"/>
      <c r="U43" s="69"/>
      <c r="V43" s="69"/>
    </row>
    <row r="44" spans="1:22" x14ac:dyDescent="0.25">
      <c r="A44" s="17" t="s">
        <v>24</v>
      </c>
      <c r="B44" s="18">
        <f>B41*4</f>
        <v>22645</v>
      </c>
      <c r="C44" s="13">
        <f>C41*4</f>
        <v>232949</v>
      </c>
      <c r="D44" s="19">
        <f>D41*4</f>
        <v>396789</v>
      </c>
      <c r="E44" s="19">
        <f>E41*4</f>
        <v>108479.56032498488</v>
      </c>
      <c r="F44" s="8"/>
      <c r="G44" s="19">
        <f>G41*4</f>
        <v>15</v>
      </c>
      <c r="H44" s="19">
        <f>H41*4</f>
        <v>31200</v>
      </c>
      <c r="I44" s="19">
        <f>I41*4</f>
        <v>115684.4</v>
      </c>
      <c r="J44" s="19">
        <f>J41*4</f>
        <v>55.6175</v>
      </c>
      <c r="M44" s="67" t="s">
        <v>24</v>
      </c>
      <c r="N44" s="69"/>
      <c r="O44" s="69"/>
      <c r="P44" s="69"/>
      <c r="Q44" s="69"/>
      <c r="R44" s="10"/>
      <c r="S44" s="69"/>
      <c r="T44" s="69"/>
      <c r="U44" s="69"/>
      <c r="V44" s="69"/>
    </row>
  </sheetData>
  <mergeCells count="3">
    <mergeCell ref="B1:E1"/>
    <mergeCell ref="G1:H1"/>
    <mergeCell ref="I1:J1"/>
  </mergeCells>
  <pageMargins left="0.7" right="0.7" top="0.75" bottom="0.75" header="0.3" footer="0.3"/>
  <pageSetup scale="82" orientation="portrait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18"/>
  <sheetViews>
    <sheetView tabSelected="1" topLeftCell="A10" zoomScaleNormal="100" workbookViewId="0">
      <selection activeCell="K7" sqref="K7"/>
    </sheetView>
  </sheetViews>
  <sheetFormatPr defaultRowHeight="15" x14ac:dyDescent="0.25"/>
  <cols>
    <col min="4" max="4" width="13.28515625" bestFit="1" customWidth="1"/>
  </cols>
  <sheetData>
    <row r="7" spans="4:14" ht="75" x14ac:dyDescent="0.25">
      <c r="D7" t="s">
        <v>0</v>
      </c>
      <c r="E7" s="73" t="s">
        <v>1</v>
      </c>
      <c r="F7" s="73"/>
      <c r="G7" s="73" t="s">
        <v>2</v>
      </c>
      <c r="H7" s="73" t="s">
        <v>3</v>
      </c>
      <c r="I7" s="73"/>
      <c r="J7" s="1"/>
      <c r="K7" s="1"/>
      <c r="L7" s="1"/>
      <c r="M7" s="1"/>
    </row>
    <row r="8" spans="4:14" ht="75" x14ac:dyDescent="0.25">
      <c r="D8" t="s">
        <v>4</v>
      </c>
      <c r="E8" s="73" t="s">
        <v>5</v>
      </c>
      <c r="F8" s="73" t="s">
        <v>6</v>
      </c>
      <c r="G8" s="73" t="s">
        <v>7</v>
      </c>
      <c r="H8" s="73" t="s">
        <v>8</v>
      </c>
      <c r="I8" s="73"/>
      <c r="J8" s="73" t="s">
        <v>9</v>
      </c>
      <c r="K8" s="73" t="s">
        <v>50</v>
      </c>
      <c r="L8" s="73" t="s">
        <v>11</v>
      </c>
      <c r="M8" s="73" t="s">
        <v>12</v>
      </c>
      <c r="N8" s="72"/>
    </row>
    <row r="9" spans="4:14" ht="30" x14ac:dyDescent="0.25">
      <c r="E9" s="73"/>
      <c r="F9" s="73"/>
      <c r="G9" s="73"/>
      <c r="H9" s="73"/>
      <c r="I9" s="73"/>
      <c r="J9" s="73" t="s">
        <v>13</v>
      </c>
      <c r="K9" s="73" t="s">
        <v>13</v>
      </c>
      <c r="L9" s="73"/>
      <c r="M9" s="73"/>
      <c r="N9" s="72"/>
    </row>
    <row r="10" spans="4:14" x14ac:dyDescent="0.25">
      <c r="D10" t="s">
        <v>15</v>
      </c>
      <c r="E10" s="71">
        <v>1700</v>
      </c>
      <c r="F10" s="71">
        <v>21802</v>
      </c>
      <c r="G10" s="71">
        <v>20259</v>
      </c>
      <c r="H10" s="71">
        <v>1153</v>
      </c>
      <c r="J10">
        <v>0</v>
      </c>
      <c r="K10">
        <v>0</v>
      </c>
      <c r="L10">
        <v>0</v>
      </c>
      <c r="M10">
        <v>0</v>
      </c>
    </row>
    <row r="11" spans="4:14" x14ac:dyDescent="0.25">
      <c r="D11" t="s">
        <v>16</v>
      </c>
      <c r="E11" s="71">
        <v>16168</v>
      </c>
      <c r="F11" s="71">
        <v>132749</v>
      </c>
      <c r="G11" s="71">
        <v>180852</v>
      </c>
      <c r="H11" s="71">
        <v>10962</v>
      </c>
      <c r="J11">
        <v>3</v>
      </c>
      <c r="K11" s="71">
        <v>7243</v>
      </c>
      <c r="L11" s="71">
        <v>50131</v>
      </c>
      <c r="M11">
        <v>24</v>
      </c>
    </row>
    <row r="12" spans="4:14" x14ac:dyDescent="0.25">
      <c r="D12" t="s">
        <v>17</v>
      </c>
      <c r="E12" s="71">
        <v>160000</v>
      </c>
      <c r="F12" s="71">
        <v>347673</v>
      </c>
      <c r="G12" s="71">
        <v>396789</v>
      </c>
      <c r="H12" s="71">
        <v>108480</v>
      </c>
      <c r="J12">
        <v>15</v>
      </c>
      <c r="K12" s="71">
        <v>31200</v>
      </c>
      <c r="L12" s="71">
        <v>115684</v>
      </c>
      <c r="M12">
        <v>56</v>
      </c>
    </row>
    <row r="13" spans="4:14" x14ac:dyDescent="0.25">
      <c r="D13" t="s">
        <v>18</v>
      </c>
      <c r="E13" s="71">
        <v>12106</v>
      </c>
      <c r="F13" s="71">
        <v>139835</v>
      </c>
      <c r="G13" s="71">
        <v>173065</v>
      </c>
      <c r="H13" s="71">
        <v>8207</v>
      </c>
      <c r="J13">
        <v>3</v>
      </c>
      <c r="K13" s="71">
        <v>6240</v>
      </c>
      <c r="L13" s="71">
        <v>51183</v>
      </c>
      <c r="M13">
        <v>25</v>
      </c>
    </row>
    <row r="14" spans="4:14" x14ac:dyDescent="0.25">
      <c r="D14" t="s">
        <v>19</v>
      </c>
      <c r="E14" s="71">
        <v>22645</v>
      </c>
      <c r="F14" s="71">
        <v>232949</v>
      </c>
      <c r="G14" t="s">
        <v>20</v>
      </c>
    </row>
    <row r="15" spans="4:14" x14ac:dyDescent="0.25">
      <c r="D15" t="s">
        <v>21</v>
      </c>
      <c r="E15" s="71">
        <v>5661</v>
      </c>
      <c r="F15" s="71">
        <v>58237</v>
      </c>
      <c r="G15" s="71">
        <v>99197</v>
      </c>
      <c r="H15" s="71">
        <v>27120</v>
      </c>
      <c r="J15">
        <v>4</v>
      </c>
      <c r="K15" s="71">
        <v>7800</v>
      </c>
      <c r="L15" s="71">
        <v>28921</v>
      </c>
      <c r="M15">
        <v>14</v>
      </c>
    </row>
    <row r="16" spans="4:14" x14ac:dyDescent="0.25">
      <c r="D16" t="s">
        <v>22</v>
      </c>
      <c r="E16" s="71">
        <v>11323</v>
      </c>
      <c r="F16" s="71">
        <v>116475</v>
      </c>
      <c r="G16" s="71">
        <v>198395</v>
      </c>
      <c r="H16" s="71">
        <v>54240</v>
      </c>
      <c r="J16">
        <v>8</v>
      </c>
      <c r="K16" s="71">
        <v>15600</v>
      </c>
      <c r="L16" s="71">
        <v>57842</v>
      </c>
      <c r="M16">
        <v>28</v>
      </c>
    </row>
    <row r="17" spans="4:13" x14ac:dyDescent="0.25">
      <c r="D17" t="s">
        <v>23</v>
      </c>
      <c r="E17" s="71">
        <v>16984</v>
      </c>
      <c r="F17" s="71">
        <v>174712</v>
      </c>
      <c r="G17" s="71">
        <v>297592</v>
      </c>
      <c r="H17" s="71">
        <v>81360</v>
      </c>
      <c r="J17">
        <v>11</v>
      </c>
      <c r="K17" s="71">
        <v>23400</v>
      </c>
      <c r="L17" s="71">
        <v>86763</v>
      </c>
      <c r="M17">
        <v>42</v>
      </c>
    </row>
    <row r="18" spans="4:13" x14ac:dyDescent="0.25">
      <c r="D18" t="s">
        <v>24</v>
      </c>
      <c r="E18" s="71">
        <v>22645</v>
      </c>
      <c r="F18" s="71">
        <v>232949</v>
      </c>
      <c r="G18" s="71">
        <v>396789</v>
      </c>
      <c r="H18" s="71">
        <v>108480</v>
      </c>
      <c r="J18">
        <v>15</v>
      </c>
      <c r="K18" s="71">
        <v>31200</v>
      </c>
      <c r="L18" s="71">
        <v>115684</v>
      </c>
      <c r="M18">
        <v>56</v>
      </c>
    </row>
  </sheetData>
  <pageMargins left="0.7" right="0.7" top="0.75" bottom="0.75" header="0.3" footer="0.3"/>
  <pageSetup scale="6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4"/>
  <sheetViews>
    <sheetView topLeftCell="A4" zoomScaleNormal="100" workbookViewId="0">
      <selection activeCell="I8" sqref="I8"/>
    </sheetView>
  </sheetViews>
  <sheetFormatPr defaultRowHeight="15" x14ac:dyDescent="0.25"/>
  <cols>
    <col min="1" max="1" width="37.7109375" customWidth="1"/>
    <col min="2" max="2" width="1.85546875" customWidth="1"/>
    <col min="3" max="6" width="16.42578125" bestFit="1" customWidth="1"/>
    <col min="7" max="7" width="14.140625" bestFit="1" customWidth="1"/>
    <col min="8" max="8" width="3" customWidth="1"/>
    <col min="9" max="9" width="9.5703125" bestFit="1" customWidth="1"/>
    <col min="12" max="12" width="30.85546875" bestFit="1" customWidth="1"/>
    <col min="13" max="13" width="2.7109375" customWidth="1"/>
    <col min="14" max="17" width="16.42578125" bestFit="1" customWidth="1"/>
    <col min="18" max="18" width="14.140625" bestFit="1" customWidth="1"/>
    <col min="19" max="19" width="2.85546875" customWidth="1"/>
    <col min="20" max="20" width="7" bestFit="1" customWidth="1"/>
  </cols>
  <sheetData>
    <row r="1" spans="1:20" ht="15" customHeight="1" x14ac:dyDescent="0.25">
      <c r="A1" s="78" t="s">
        <v>26</v>
      </c>
      <c r="B1" s="78"/>
      <c r="C1" s="78"/>
      <c r="D1" s="78"/>
      <c r="E1" s="78"/>
      <c r="F1" s="78"/>
      <c r="G1" s="78"/>
      <c r="H1" s="78"/>
      <c r="I1" s="78"/>
      <c r="L1" s="78" t="s">
        <v>48</v>
      </c>
      <c r="M1" s="78"/>
      <c r="N1" s="78"/>
      <c r="O1" s="78"/>
      <c r="P1" s="78"/>
      <c r="Q1" s="78"/>
      <c r="R1" s="78"/>
      <c r="S1" s="78"/>
      <c r="T1" s="78"/>
    </row>
    <row r="2" spans="1:20" x14ac:dyDescent="0.25">
      <c r="A2" s="78"/>
      <c r="B2" s="78"/>
      <c r="C2" s="78"/>
      <c r="D2" s="78"/>
      <c r="E2" s="78"/>
      <c r="F2" s="78"/>
      <c r="G2" s="78"/>
      <c r="H2" s="78"/>
      <c r="I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5">
      <c r="A3" s="78"/>
      <c r="B3" s="78"/>
      <c r="C3" s="78"/>
      <c r="D3" s="78"/>
      <c r="E3" s="78"/>
      <c r="F3" s="78"/>
      <c r="G3" s="78"/>
      <c r="H3" s="78"/>
      <c r="I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51.75" x14ac:dyDescent="0.25">
      <c r="A4" s="29"/>
      <c r="B4" s="30"/>
      <c r="C4" s="31" t="s">
        <v>27</v>
      </c>
      <c r="D4" s="31" t="s">
        <v>28</v>
      </c>
      <c r="E4" s="31" t="s">
        <v>29</v>
      </c>
      <c r="F4" s="31" t="s">
        <v>30</v>
      </c>
      <c r="G4" s="79" t="s">
        <v>31</v>
      </c>
      <c r="H4" s="80"/>
      <c r="I4" s="80"/>
      <c r="L4" s="29"/>
      <c r="M4" s="30"/>
      <c r="N4" s="31" t="s">
        <v>27</v>
      </c>
      <c r="O4" s="31" t="s">
        <v>28</v>
      </c>
      <c r="P4" s="31" t="s">
        <v>29</v>
      </c>
      <c r="Q4" s="31" t="s">
        <v>30</v>
      </c>
      <c r="R4" s="81" t="s">
        <v>31</v>
      </c>
      <c r="S4" s="82"/>
      <c r="T4" s="82"/>
    </row>
    <row r="5" spans="1:20" x14ac:dyDescent="0.25">
      <c r="A5" s="33"/>
      <c r="B5" s="33"/>
      <c r="C5" s="33"/>
      <c r="D5" s="33"/>
      <c r="E5" s="33"/>
      <c r="F5" s="33"/>
      <c r="G5" s="33"/>
      <c r="H5" s="33"/>
      <c r="I5" s="33"/>
      <c r="L5" s="33"/>
      <c r="M5" s="33"/>
      <c r="N5" s="33"/>
      <c r="O5" s="33"/>
      <c r="P5" s="33"/>
      <c r="Q5" s="33"/>
      <c r="R5" s="54"/>
      <c r="S5" s="54"/>
      <c r="T5" s="54"/>
    </row>
    <row r="6" spans="1:20" x14ac:dyDescent="0.25">
      <c r="A6" s="34" t="s">
        <v>32</v>
      </c>
      <c r="B6" s="35"/>
      <c r="C6" s="35">
        <f>[3]Summary!$P$27</f>
        <v>32388160</v>
      </c>
      <c r="D6" s="35">
        <f>'[4]Exh A-3 Revenues by Fund'!D53</f>
        <v>36260160</v>
      </c>
      <c r="E6" s="35">
        <f>[5]Summary!$Q$28</f>
        <v>37335600</v>
      </c>
      <c r="F6" s="35">
        <f>[6]Summary!$R$28</f>
        <v>37335600</v>
      </c>
      <c r="G6" s="35">
        <f>F6-E6</f>
        <v>0</v>
      </c>
      <c r="H6" s="36"/>
      <c r="I6" s="37">
        <f>G6/E6</f>
        <v>0</v>
      </c>
      <c r="L6" s="34" t="s">
        <v>32</v>
      </c>
      <c r="M6" s="35"/>
      <c r="N6" s="35">
        <f>[3]Summary!$P$27</f>
        <v>32388160</v>
      </c>
      <c r="O6" s="35">
        <f>'[4]Exh A-3 Revenues by Fund'!O53</f>
        <v>0</v>
      </c>
      <c r="P6" s="35">
        <f>[5]Summary!$Q$28</f>
        <v>37335600</v>
      </c>
      <c r="Q6" s="35">
        <f>[6]Summary!$R$28</f>
        <v>37335600</v>
      </c>
      <c r="R6" s="55">
        <f>Q6-P6</f>
        <v>0</v>
      </c>
      <c r="S6" s="56"/>
      <c r="T6" s="57">
        <f>R6/P6</f>
        <v>0</v>
      </c>
    </row>
    <row r="7" spans="1:20" x14ac:dyDescent="0.25">
      <c r="A7" s="33"/>
      <c r="B7" s="33"/>
      <c r="C7" s="33"/>
      <c r="D7" s="33"/>
      <c r="E7" s="33"/>
      <c r="F7" s="33"/>
      <c r="G7" s="33"/>
      <c r="H7" s="33"/>
      <c r="I7" s="33"/>
      <c r="L7" s="33"/>
      <c r="M7" s="33"/>
      <c r="N7" s="33"/>
      <c r="O7" s="33"/>
      <c r="P7" s="33"/>
      <c r="Q7" s="33"/>
      <c r="R7" s="54"/>
      <c r="S7" s="54"/>
      <c r="T7" s="54"/>
    </row>
    <row r="8" spans="1:20" x14ac:dyDescent="0.25">
      <c r="A8" s="33" t="s">
        <v>33</v>
      </c>
      <c r="B8" s="38"/>
      <c r="C8" s="38">
        <f>[3]Summary!$P$30</f>
        <v>22000000</v>
      </c>
      <c r="D8" s="38">
        <v>22516937</v>
      </c>
      <c r="E8" s="38">
        <f>[5]Summary!$Q$31</f>
        <v>23112000</v>
      </c>
      <c r="F8" s="38">
        <f>[6]Summary!$R$31</f>
        <v>23162000</v>
      </c>
      <c r="G8" s="38">
        <f>F8-E8</f>
        <v>50000</v>
      </c>
      <c r="H8" s="33"/>
      <c r="I8" s="39">
        <f>G8/E8</f>
        <v>2.1633783316026309E-3</v>
      </c>
      <c r="L8" s="33" t="s">
        <v>33</v>
      </c>
      <c r="M8" s="38"/>
      <c r="N8" s="38">
        <f>[3]Summary!$P$30</f>
        <v>22000000</v>
      </c>
      <c r="O8" s="38">
        <v>22516937</v>
      </c>
      <c r="P8" s="38">
        <f>[5]Summary!$Q$31</f>
        <v>23112000</v>
      </c>
      <c r="Q8" s="38">
        <f>[6]Summary!$R$31</f>
        <v>23162000</v>
      </c>
      <c r="R8" s="58"/>
      <c r="S8" s="54"/>
      <c r="T8" s="59"/>
    </row>
    <row r="9" spans="1:20" x14ac:dyDescent="0.25">
      <c r="A9" s="33" t="s">
        <v>34</v>
      </c>
      <c r="B9" s="38"/>
      <c r="C9" s="38">
        <f>[3]Summary!$P$31</f>
        <v>7780000</v>
      </c>
      <c r="D9" s="38">
        <f>4352071+2839168+1100529+21928+364604+285000+223300</f>
        <v>9186600</v>
      </c>
      <c r="E9" s="38">
        <f>[5]Summary!$Q$32</f>
        <v>8608135</v>
      </c>
      <c r="F9" s="38">
        <f>[7]Summary!$R$32</f>
        <v>8882135</v>
      </c>
      <c r="G9" s="38">
        <f t="shared" ref="G9:G12" si="0">F9-E9</f>
        <v>274000</v>
      </c>
      <c r="H9" s="33"/>
      <c r="I9" s="39">
        <f>G9/E9</f>
        <v>3.1830355820395471E-2</v>
      </c>
      <c r="L9" s="33" t="s">
        <v>34</v>
      </c>
      <c r="M9" s="38"/>
      <c r="N9" s="38">
        <f>[3]Summary!$P$31</f>
        <v>7780000</v>
      </c>
      <c r="O9" s="38">
        <f>4352071+2839168+1100529+21928+364604+285000+223300</f>
        <v>9186600</v>
      </c>
      <c r="P9" s="38">
        <f>[5]Summary!$Q$32</f>
        <v>8608135</v>
      </c>
      <c r="Q9" s="38">
        <f>[7]Summary!$R$32</f>
        <v>8882135</v>
      </c>
      <c r="R9" s="58"/>
      <c r="S9" s="54"/>
      <c r="T9" s="59"/>
    </row>
    <row r="10" spans="1:20" x14ac:dyDescent="0.25">
      <c r="A10" s="33" t="s">
        <v>35</v>
      </c>
      <c r="B10" s="38"/>
      <c r="C10" s="38">
        <f>[3]Summary!$P$32</f>
        <v>3827000</v>
      </c>
      <c r="D10" s="38">
        <v>4227000</v>
      </c>
      <c r="E10" s="38">
        <f>[5]Summary!$Q$33</f>
        <v>4700000</v>
      </c>
      <c r="F10" s="38">
        <f>[7]Summary!$R$33</f>
        <v>4700000</v>
      </c>
      <c r="G10" s="38">
        <f t="shared" si="0"/>
        <v>0</v>
      </c>
      <c r="H10" s="33"/>
      <c r="I10" s="39">
        <f t="shared" ref="I10" si="1">G10/E10</f>
        <v>0</v>
      </c>
      <c r="L10" s="33" t="s">
        <v>35</v>
      </c>
      <c r="M10" s="38"/>
      <c r="N10" s="38">
        <f>[3]Summary!$P$32</f>
        <v>3827000</v>
      </c>
      <c r="O10" s="38">
        <v>4227000</v>
      </c>
      <c r="P10" s="38">
        <f>[5]Summary!$Q$33</f>
        <v>4700000</v>
      </c>
      <c r="Q10" s="38">
        <f>[7]Summary!$R$33</f>
        <v>4700000</v>
      </c>
      <c r="R10" s="58"/>
      <c r="S10" s="54"/>
      <c r="T10" s="59"/>
    </row>
    <row r="11" spans="1:20" x14ac:dyDescent="0.25">
      <c r="A11" s="33" t="s">
        <v>36</v>
      </c>
      <c r="B11" s="38"/>
      <c r="C11" s="38">
        <f>[3]Summary!$P$33</f>
        <v>134500</v>
      </c>
      <c r="D11" s="38">
        <f>10000+30000</f>
        <v>40000</v>
      </c>
      <c r="E11" s="38">
        <f>[5]Summary!$Q$34</f>
        <v>975500</v>
      </c>
      <c r="F11" s="38">
        <f>[7]Summary!$R$34</f>
        <v>1186500</v>
      </c>
      <c r="G11" s="38">
        <f t="shared" si="0"/>
        <v>211000</v>
      </c>
      <c r="H11" s="33"/>
      <c r="I11" s="39">
        <f>G11/E11</f>
        <v>0.21629933367503845</v>
      </c>
      <c r="L11" s="33" t="s">
        <v>36</v>
      </c>
      <c r="M11" s="38"/>
      <c r="N11" s="38">
        <f>[3]Summary!$P$33</f>
        <v>134500</v>
      </c>
      <c r="O11" s="38">
        <f>10000+30000</f>
        <v>40000</v>
      </c>
      <c r="P11" s="38">
        <f>[5]Summary!$Q$34</f>
        <v>975500</v>
      </c>
      <c r="Q11" s="38">
        <f>[7]Summary!$R$34</f>
        <v>1186500</v>
      </c>
      <c r="R11" s="58"/>
      <c r="S11" s="54"/>
      <c r="T11" s="59"/>
    </row>
    <row r="12" spans="1:20" x14ac:dyDescent="0.25">
      <c r="A12" s="33" t="s">
        <v>37</v>
      </c>
      <c r="B12" s="38"/>
      <c r="C12" s="38">
        <f>[3]Summary!$P$34</f>
        <v>142500</v>
      </c>
      <c r="D12" s="38">
        <f>158500+259167</f>
        <v>417667</v>
      </c>
      <c r="E12" s="38">
        <f>[5]Summary!$Q$35</f>
        <v>93000</v>
      </c>
      <c r="F12" s="38">
        <f>[7]Summary!$R$35</f>
        <v>214000</v>
      </c>
      <c r="G12" s="38">
        <f t="shared" si="0"/>
        <v>121000</v>
      </c>
      <c r="H12" s="33"/>
      <c r="I12" s="39">
        <f>G12/E12</f>
        <v>1.3010752688172043</v>
      </c>
      <c r="L12" s="33" t="s">
        <v>37</v>
      </c>
      <c r="M12" s="38"/>
      <c r="N12" s="38">
        <f>[3]Summary!$P$34</f>
        <v>142500</v>
      </c>
      <c r="O12" s="38">
        <f>158500+259167</f>
        <v>417667</v>
      </c>
      <c r="P12" s="38">
        <f>[5]Summary!$Q$35</f>
        <v>93000</v>
      </c>
      <c r="Q12" s="38">
        <f>[7]Summary!$R$35</f>
        <v>214000</v>
      </c>
      <c r="R12" s="58"/>
      <c r="S12" s="54"/>
      <c r="T12" s="59"/>
    </row>
    <row r="13" spans="1:20" x14ac:dyDescent="0.25">
      <c r="A13" s="40" t="s">
        <v>38</v>
      </c>
      <c r="B13" s="41"/>
      <c r="C13" s="41">
        <f>SUM(C8:C12)</f>
        <v>33884000</v>
      </c>
      <c r="D13" s="41">
        <f>SUM(D8:D12)</f>
        <v>36388204</v>
      </c>
      <c r="E13" s="41">
        <f>SUM(E8:E12)</f>
        <v>37488635</v>
      </c>
      <c r="F13" s="41">
        <f>SUM(F8:F12)</f>
        <v>38144635</v>
      </c>
      <c r="G13" s="41">
        <f>F13-E13</f>
        <v>656000</v>
      </c>
      <c r="H13" s="42"/>
      <c r="I13" s="43">
        <f>G13/E13</f>
        <v>1.7498636586794906E-2</v>
      </c>
      <c r="L13" s="40" t="s">
        <v>38</v>
      </c>
      <c r="M13" s="41"/>
      <c r="N13" s="41">
        <f>SUM(N8:N12)</f>
        <v>33884000</v>
      </c>
      <c r="O13" s="41">
        <f>SUM(O8:O12)</f>
        <v>36388204</v>
      </c>
      <c r="P13" s="41">
        <f>SUM(P8:P12)</f>
        <v>37488635</v>
      </c>
      <c r="Q13" s="41">
        <f>SUM(Q8:Q12)</f>
        <v>38144635</v>
      </c>
      <c r="R13" s="55"/>
      <c r="S13" s="56"/>
      <c r="T13" s="57"/>
    </row>
    <row r="14" spans="1:20" ht="17.25" x14ac:dyDescent="0.35">
      <c r="A14" s="44"/>
      <c r="B14" s="45"/>
      <c r="C14" s="45"/>
      <c r="D14" s="45"/>
      <c r="E14" s="45"/>
      <c r="F14" s="45"/>
      <c r="G14" s="46"/>
      <c r="H14" s="45"/>
      <c r="I14" s="45"/>
      <c r="L14" s="44"/>
      <c r="M14" s="45"/>
      <c r="N14" s="45"/>
      <c r="O14" s="45"/>
      <c r="P14" s="45"/>
      <c r="Q14" s="45"/>
      <c r="R14" s="60"/>
      <c r="S14" s="61"/>
      <c r="T14" s="61"/>
    </row>
    <row r="15" spans="1:20" ht="16.5" x14ac:dyDescent="0.3">
      <c r="A15" s="29" t="s">
        <v>39</v>
      </c>
      <c r="B15" s="47"/>
      <c r="C15" s="47"/>
      <c r="D15" s="47"/>
      <c r="E15" s="47"/>
      <c r="F15" s="47"/>
      <c r="G15" s="48"/>
      <c r="H15" s="49"/>
      <c r="I15" s="50"/>
      <c r="L15" s="29" t="s">
        <v>39</v>
      </c>
      <c r="M15" s="47"/>
      <c r="N15" s="47"/>
      <c r="O15" s="47"/>
      <c r="P15" s="47"/>
      <c r="Q15" s="47"/>
      <c r="R15" s="62"/>
      <c r="S15" s="63"/>
      <c r="T15" s="64"/>
    </row>
    <row r="16" spans="1:20" x14ac:dyDescent="0.25">
      <c r="A16" s="33" t="s">
        <v>40</v>
      </c>
      <c r="B16" s="38">
        <f>18188000-17319137.82</f>
        <v>868862.1799999997</v>
      </c>
      <c r="C16" s="38">
        <f>(18525000-19132503)</f>
        <v>-607503</v>
      </c>
      <c r="D16" s="38">
        <f>(20075000-20698160)</f>
        <v>-623160</v>
      </c>
      <c r="E16" s="38">
        <f>(20980000-21820020)</f>
        <v>-840020</v>
      </c>
      <c r="F16" s="38">
        <f>(20980000-22002020)</f>
        <v>-1022020</v>
      </c>
      <c r="G16" s="38">
        <f>F16-E16</f>
        <v>-182000</v>
      </c>
      <c r="H16" s="39"/>
      <c r="I16" s="39">
        <f>G16/E16</f>
        <v>0.21666150805933193</v>
      </c>
      <c r="L16" s="33" t="s">
        <v>40</v>
      </c>
      <c r="M16" s="38">
        <f>18188000-17319137.82</f>
        <v>868862.1799999997</v>
      </c>
      <c r="N16" s="38">
        <f>(18525000-19132503)</f>
        <v>-607503</v>
      </c>
      <c r="O16" s="38">
        <f>(20075000-20698160)</f>
        <v>-623160</v>
      </c>
      <c r="P16" s="38">
        <f>(20980000-21820020)</f>
        <v>-840020</v>
      </c>
      <c r="Q16" s="38">
        <f>(20980000-22002020)</f>
        <v>-1022020</v>
      </c>
      <c r="R16" s="58"/>
      <c r="S16" s="59"/>
      <c r="T16" s="59"/>
    </row>
    <row r="17" spans="1:20" x14ac:dyDescent="0.25">
      <c r="A17" s="33" t="s">
        <v>41</v>
      </c>
      <c r="B17" s="38">
        <f>8203600-8501572.54</f>
        <v>-297972.53999999911</v>
      </c>
      <c r="C17" s="38">
        <f>(8269600-8778092)</f>
        <v>-508492</v>
      </c>
      <c r="D17" s="38">
        <f>(8319600-9115655)</f>
        <v>-796055</v>
      </c>
      <c r="E17" s="38">
        <f>(8332600-8956870)</f>
        <v>-624270</v>
      </c>
      <c r="F17" s="38">
        <f>(8332600-9405270)</f>
        <v>-1072670</v>
      </c>
      <c r="G17" s="38">
        <f>F17-E17</f>
        <v>-448400</v>
      </c>
      <c r="H17" s="39"/>
      <c r="I17" s="39">
        <f>G17/E17</f>
        <v>0.71827894981338203</v>
      </c>
      <c r="L17" s="33" t="s">
        <v>41</v>
      </c>
      <c r="M17" s="38">
        <f>8203600-8501572.54</f>
        <v>-297972.53999999911</v>
      </c>
      <c r="N17" s="38">
        <f>(8269600-8778092)</f>
        <v>-508492</v>
      </c>
      <c r="O17" s="38">
        <f>(8319600-9115655)</f>
        <v>-796055</v>
      </c>
      <c r="P17" s="38">
        <f>(8332600-8956870)</f>
        <v>-624270</v>
      </c>
      <c r="Q17" s="38">
        <f>(8332600-9405270)</f>
        <v>-1072670</v>
      </c>
      <c r="R17" s="58"/>
      <c r="S17" s="59"/>
      <c r="T17" s="59"/>
    </row>
    <row r="18" spans="1:20" x14ac:dyDescent="0.25">
      <c r="A18" s="33" t="s">
        <v>42</v>
      </c>
      <c r="B18" s="38">
        <f>4776560-4571440.64</f>
        <v>205119.36000000034</v>
      </c>
      <c r="C18" s="38">
        <f>(5080560-5525405)</f>
        <v>-444845</v>
      </c>
      <c r="D18" s="38">
        <f>(5080560-4394388)</f>
        <v>686172</v>
      </c>
      <c r="E18" s="38">
        <f>(5260000-4146345)</f>
        <v>1113655</v>
      </c>
      <c r="F18" s="38">
        <f>(5260000-4171945)</f>
        <v>1088055</v>
      </c>
      <c r="G18" s="38">
        <f t="shared" ref="G18:G20" si="2">F18-E18</f>
        <v>-25600</v>
      </c>
      <c r="H18" s="39"/>
      <c r="I18" s="39">
        <f>G18/E18</f>
        <v>-2.2987370415433864E-2</v>
      </c>
      <c r="L18" s="33" t="s">
        <v>42</v>
      </c>
      <c r="M18" s="38">
        <f>4776560-4571440.64</f>
        <v>205119.36000000034</v>
      </c>
      <c r="N18" s="38">
        <f>(5080560-5525405)</f>
        <v>-444845</v>
      </c>
      <c r="O18" s="38">
        <f>(5080560-4394388)</f>
        <v>686172</v>
      </c>
      <c r="P18" s="38">
        <f>(5260000-4146345)</f>
        <v>1113655</v>
      </c>
      <c r="Q18" s="38">
        <f>(5260000-4171945)</f>
        <v>1088055</v>
      </c>
      <c r="R18" s="58"/>
      <c r="S18" s="59"/>
      <c r="T18" s="59"/>
    </row>
    <row r="19" spans="1:20" x14ac:dyDescent="0.25">
      <c r="A19" s="33" t="s">
        <v>43</v>
      </c>
      <c r="B19" s="38"/>
      <c r="C19" s="38"/>
      <c r="D19" s="38">
        <f>(1900000-1710000)</f>
        <v>190000</v>
      </c>
      <c r="E19" s="38">
        <f>(1961000-1954900)</f>
        <v>6100</v>
      </c>
      <c r="F19" s="38">
        <f>(1961000-1954900)</f>
        <v>6100</v>
      </c>
      <c r="G19" s="38">
        <f>F19-E19</f>
        <v>0</v>
      </c>
      <c r="H19" s="39"/>
      <c r="I19" s="39">
        <f>G19/E19</f>
        <v>0</v>
      </c>
      <c r="L19" s="33" t="s">
        <v>43</v>
      </c>
      <c r="M19" s="38"/>
      <c r="N19" s="38"/>
      <c r="O19" s="38">
        <f>(1900000-1710000)</f>
        <v>190000</v>
      </c>
      <c r="P19" s="38">
        <f>(1961000-1954900)</f>
        <v>6100</v>
      </c>
      <c r="Q19" s="38">
        <f>(1961000-1954900)</f>
        <v>6100</v>
      </c>
      <c r="R19" s="58"/>
      <c r="S19" s="59"/>
      <c r="T19" s="59"/>
    </row>
    <row r="20" spans="1:20" x14ac:dyDescent="0.25">
      <c r="A20" s="33" t="s">
        <v>44</v>
      </c>
      <c r="B20" s="38">
        <f>250000-200000</f>
        <v>50000</v>
      </c>
      <c r="C20" s="38">
        <f>(350000-285000)</f>
        <v>65000</v>
      </c>
      <c r="D20" s="38">
        <f>(700000-285000)</f>
        <v>415000</v>
      </c>
      <c r="E20" s="38">
        <f>(625000-433500)</f>
        <v>191500</v>
      </c>
      <c r="F20" s="38">
        <f>(625000-433500)</f>
        <v>191500</v>
      </c>
      <c r="G20" s="38">
        <f t="shared" si="2"/>
        <v>0</v>
      </c>
      <c r="H20" s="39"/>
      <c r="I20" s="39">
        <f t="shared" ref="I20" si="3">G20/E20</f>
        <v>0</v>
      </c>
      <c r="L20" s="33" t="s">
        <v>44</v>
      </c>
      <c r="M20" s="38">
        <f>250000-200000</f>
        <v>50000</v>
      </c>
      <c r="N20" s="38">
        <f>(350000-285000)</f>
        <v>65000</v>
      </c>
      <c r="O20" s="38">
        <f>(700000-285000)</f>
        <v>415000</v>
      </c>
      <c r="P20" s="38">
        <f>(625000-433500)</f>
        <v>191500</v>
      </c>
      <c r="Q20" s="38">
        <f>(625000-433500)</f>
        <v>191500</v>
      </c>
      <c r="R20" s="58"/>
      <c r="S20" s="59"/>
      <c r="T20" s="59"/>
    </row>
    <row r="21" spans="1:20" x14ac:dyDescent="0.25">
      <c r="A21" s="40" t="s">
        <v>45</v>
      </c>
      <c r="B21" s="51">
        <f>SUM(B16:B20)</f>
        <v>826009.00000000093</v>
      </c>
      <c r="C21" s="52">
        <f>SUM(C16:C20)</f>
        <v>-1495840</v>
      </c>
      <c r="D21" s="52">
        <f t="shared" ref="D21" si="4">SUM(D16:D20)</f>
        <v>-128043</v>
      </c>
      <c r="E21" s="52">
        <f>SUM(E16:E20)</f>
        <v>-153035</v>
      </c>
      <c r="F21" s="52">
        <f>SUM(F16:F20)</f>
        <v>-809035</v>
      </c>
      <c r="G21" s="52">
        <f>SUM(G16:G20)</f>
        <v>-656000</v>
      </c>
      <c r="H21" s="53"/>
      <c r="I21" s="53">
        <f>G21/E21</f>
        <v>4.2866011043225409</v>
      </c>
      <c r="L21" s="40" t="s">
        <v>45</v>
      </c>
      <c r="M21" s="51">
        <f>SUM(M16:M20)</f>
        <v>826009.00000000093</v>
      </c>
      <c r="N21" s="52">
        <f>SUM(N16:N20)</f>
        <v>-1495840</v>
      </c>
      <c r="O21" s="52">
        <f t="shared" ref="O21" si="5">SUM(O16:O20)</f>
        <v>-128043</v>
      </c>
      <c r="P21" s="52">
        <f>SUM(P16:P20)</f>
        <v>-153035</v>
      </c>
      <c r="Q21" s="52">
        <f>SUM(Q16:Q20)</f>
        <v>-809035</v>
      </c>
      <c r="R21" s="65"/>
      <c r="S21" s="66"/>
      <c r="T21" s="66"/>
    </row>
    <row r="23" spans="1:20" x14ac:dyDescent="0.25">
      <c r="A23" s="33" t="s">
        <v>46</v>
      </c>
      <c r="L23" s="70" t="s">
        <v>49</v>
      </c>
      <c r="M23" s="70"/>
      <c r="N23" s="70"/>
      <c r="O23" s="70"/>
      <c r="P23" s="70"/>
      <c r="Q23" s="70"/>
      <c r="R23" s="70"/>
    </row>
    <row r="24" spans="1:20" x14ac:dyDescent="0.25">
      <c r="A24" t="s">
        <v>47</v>
      </c>
    </row>
  </sheetData>
  <mergeCells count="4">
    <mergeCell ref="A1:I3"/>
    <mergeCell ref="G4:I4"/>
    <mergeCell ref="L1:T3"/>
    <mergeCell ref="R4:T4"/>
  </mergeCells>
  <pageMargins left="0.7" right="0.7" top="0.75" bottom="0.75" header="0.3" footer="0.3"/>
  <pageSetup scale="64" orientation="landscape" verticalDpi="0" r:id="rId1"/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8:M28"/>
  <sheetViews>
    <sheetView topLeftCell="A2" zoomScaleNormal="100" workbookViewId="0">
      <selection activeCell="E35" sqref="E35"/>
    </sheetView>
  </sheetViews>
  <sheetFormatPr defaultRowHeight="15" x14ac:dyDescent="0.25"/>
  <cols>
    <col min="5" max="5" width="31.7109375" customWidth="1"/>
    <col min="6" max="6" width="2.28515625" customWidth="1"/>
    <col min="7" max="10" width="16.42578125" bestFit="1" customWidth="1"/>
    <col min="11" max="11" width="14.140625" bestFit="1" customWidth="1"/>
    <col min="12" max="12" width="3.85546875" customWidth="1"/>
    <col min="13" max="13" width="9.5703125" bestFit="1" customWidth="1"/>
  </cols>
  <sheetData>
    <row r="8" spans="5:13" ht="102.75" x14ac:dyDescent="0.25">
      <c r="E8" s="29"/>
      <c r="F8" s="30"/>
      <c r="G8" s="32" t="s">
        <v>27</v>
      </c>
      <c r="H8" s="32" t="s">
        <v>28</v>
      </c>
      <c r="I8" s="32" t="s">
        <v>29</v>
      </c>
      <c r="J8" s="32" t="s">
        <v>30</v>
      </c>
      <c r="K8" s="79" t="s">
        <v>31</v>
      </c>
      <c r="L8" s="80"/>
      <c r="M8" s="80"/>
    </row>
    <row r="9" spans="5:13" x14ac:dyDescent="0.25">
      <c r="E9" s="33"/>
      <c r="F9" s="33"/>
      <c r="G9" s="33"/>
      <c r="H9" s="33"/>
      <c r="I9" s="33"/>
      <c r="J9" s="33"/>
      <c r="K9" s="33"/>
      <c r="L9" s="33"/>
      <c r="M9" s="33"/>
    </row>
    <row r="10" spans="5:13" x14ac:dyDescent="0.25">
      <c r="E10" s="34" t="s">
        <v>32</v>
      </c>
      <c r="F10" s="35"/>
      <c r="G10" s="35">
        <f>[3]Summary!$P$27</f>
        <v>32388160</v>
      </c>
      <c r="H10" s="35">
        <f>'[4]Exh A-3 Revenues by Fund'!H57</f>
        <v>0</v>
      </c>
      <c r="I10" s="35">
        <f>[5]Summary!$Q$28</f>
        <v>37335600</v>
      </c>
      <c r="J10" s="35">
        <f>[6]Summary!$R$28</f>
        <v>37335600</v>
      </c>
      <c r="K10" s="35">
        <f>J10-I10</f>
        <v>0</v>
      </c>
      <c r="L10" s="36"/>
      <c r="M10" s="37">
        <f>K10/I10</f>
        <v>0</v>
      </c>
    </row>
    <row r="11" spans="5:13" x14ac:dyDescent="0.25">
      <c r="E11" s="33"/>
      <c r="F11" s="33"/>
      <c r="G11" s="33"/>
      <c r="H11" s="33"/>
      <c r="I11" s="33"/>
      <c r="J11" s="33"/>
      <c r="K11" s="33"/>
      <c r="L11" s="33"/>
      <c r="M11" s="33"/>
    </row>
    <row r="12" spans="5:13" x14ac:dyDescent="0.25">
      <c r="E12" s="33" t="s">
        <v>33</v>
      </c>
      <c r="F12" s="38"/>
      <c r="G12" s="38">
        <f>[3]Summary!$P$30</f>
        <v>22000000</v>
      </c>
      <c r="H12" s="38">
        <v>22516937</v>
      </c>
      <c r="I12" s="38">
        <f>[5]Summary!$Q$31</f>
        <v>23112000</v>
      </c>
      <c r="J12" s="38">
        <f>[6]Summary!$R$31</f>
        <v>23162000</v>
      </c>
      <c r="K12" s="38">
        <f>J12-I12</f>
        <v>50000</v>
      </c>
      <c r="L12" s="33"/>
      <c r="M12" s="39">
        <f>K12/I12</f>
        <v>2.1633783316026309E-3</v>
      </c>
    </row>
    <row r="13" spans="5:13" x14ac:dyDescent="0.25">
      <c r="E13" s="33" t="s">
        <v>34</v>
      </c>
      <c r="F13" s="38"/>
      <c r="G13" s="38">
        <f>[3]Summary!$P$31</f>
        <v>7780000</v>
      </c>
      <c r="H13" s="38">
        <f>4352071+2839168+1100529+21928+364604+285000+223300</f>
        <v>9186600</v>
      </c>
      <c r="I13" s="38">
        <f>[5]Summary!$Q$32</f>
        <v>8608135</v>
      </c>
      <c r="J13" s="38">
        <f>[7]Summary!$R$32</f>
        <v>8882135</v>
      </c>
      <c r="K13" s="38">
        <f t="shared" ref="K13:K16" si="0">J13-I13</f>
        <v>274000</v>
      </c>
      <c r="L13" s="33"/>
      <c r="M13" s="39">
        <f>K13/I13</f>
        <v>3.1830355820395471E-2</v>
      </c>
    </row>
    <row r="14" spans="5:13" x14ac:dyDescent="0.25">
      <c r="E14" s="33" t="s">
        <v>35</v>
      </c>
      <c r="F14" s="38"/>
      <c r="G14" s="38">
        <f>[3]Summary!$P$32</f>
        <v>3827000</v>
      </c>
      <c r="H14" s="38">
        <v>4227000</v>
      </c>
      <c r="I14" s="38">
        <f>[5]Summary!$Q$33</f>
        <v>4700000</v>
      </c>
      <c r="J14" s="38">
        <f>[7]Summary!$R$33</f>
        <v>4700000</v>
      </c>
      <c r="K14" s="38">
        <f t="shared" si="0"/>
        <v>0</v>
      </c>
      <c r="L14" s="33"/>
      <c r="M14" s="39">
        <f t="shared" ref="M14" si="1">K14/I14</f>
        <v>0</v>
      </c>
    </row>
    <row r="15" spans="5:13" x14ac:dyDescent="0.25">
      <c r="E15" s="33" t="s">
        <v>36</v>
      </c>
      <c r="F15" s="38"/>
      <c r="G15" s="38">
        <f>[3]Summary!$P$33</f>
        <v>134500</v>
      </c>
      <c r="H15" s="38">
        <f>10000+30000</f>
        <v>40000</v>
      </c>
      <c r="I15" s="38">
        <f>[5]Summary!$Q$34</f>
        <v>975500</v>
      </c>
      <c r="J15" s="38">
        <f>[7]Summary!$R$34</f>
        <v>1186500</v>
      </c>
      <c r="K15" s="38">
        <f t="shared" si="0"/>
        <v>211000</v>
      </c>
      <c r="L15" s="33"/>
      <c r="M15" s="39">
        <f>K15/I15</f>
        <v>0.21629933367503845</v>
      </c>
    </row>
    <row r="16" spans="5:13" x14ac:dyDescent="0.25">
      <c r="E16" s="33" t="s">
        <v>37</v>
      </c>
      <c r="F16" s="38"/>
      <c r="G16" s="38">
        <f>[3]Summary!$P$34</f>
        <v>142500</v>
      </c>
      <c r="H16" s="38">
        <f>158500+259167</f>
        <v>417667</v>
      </c>
      <c r="I16" s="38">
        <f>[5]Summary!$Q$35</f>
        <v>93000</v>
      </c>
      <c r="J16" s="38">
        <f>[7]Summary!$R$35</f>
        <v>214000</v>
      </c>
      <c r="K16" s="38">
        <f t="shared" si="0"/>
        <v>121000</v>
      </c>
      <c r="L16" s="33"/>
      <c r="M16" s="39">
        <f>K16/I16</f>
        <v>1.3010752688172043</v>
      </c>
    </row>
    <row r="17" spans="5:13" x14ac:dyDescent="0.25">
      <c r="E17" s="40" t="s">
        <v>38</v>
      </c>
      <c r="F17" s="41"/>
      <c r="G17" s="41">
        <f>SUM(G12:G16)</f>
        <v>33884000</v>
      </c>
      <c r="H17" s="41">
        <f>SUM(H12:H16)</f>
        <v>36388204</v>
      </c>
      <c r="I17" s="41">
        <f>SUM(I12:I16)</f>
        <v>37488635</v>
      </c>
      <c r="J17" s="41">
        <f>SUM(J12:J16)</f>
        <v>38144635</v>
      </c>
      <c r="K17" s="41">
        <f>J17-I17</f>
        <v>656000</v>
      </c>
      <c r="L17" s="42"/>
      <c r="M17" s="43">
        <f>K17/I17</f>
        <v>1.7498636586794906E-2</v>
      </c>
    </row>
    <row r="18" spans="5:13" ht="17.25" x14ac:dyDescent="0.35">
      <c r="E18" s="44"/>
      <c r="F18" s="45"/>
      <c r="G18" s="45"/>
      <c r="H18" s="45"/>
      <c r="I18" s="45"/>
      <c r="J18" s="45"/>
      <c r="K18" s="46"/>
      <c r="L18" s="45"/>
      <c r="M18" s="45"/>
    </row>
    <row r="19" spans="5:13" ht="16.5" x14ac:dyDescent="0.3">
      <c r="E19" s="29" t="s">
        <v>39</v>
      </c>
      <c r="F19" s="47"/>
      <c r="G19" s="47"/>
      <c r="H19" s="47"/>
      <c r="I19" s="47"/>
      <c r="J19" s="47"/>
      <c r="K19" s="48"/>
      <c r="L19" s="49"/>
      <c r="M19" s="50"/>
    </row>
    <row r="20" spans="5:13" x14ac:dyDescent="0.25">
      <c r="E20" s="33" t="s">
        <v>40</v>
      </c>
      <c r="F20" s="38">
        <f>18188000-17319137.82</f>
        <v>868862.1799999997</v>
      </c>
      <c r="G20" s="38">
        <f>(18525000-19132503)</f>
        <v>-607503</v>
      </c>
      <c r="H20" s="38">
        <f>(20075000-20698160)</f>
        <v>-623160</v>
      </c>
      <c r="I20" s="38">
        <f>(20980000-21820020)</f>
        <v>-840020</v>
      </c>
      <c r="J20" s="38">
        <f>(20980000-22002020)</f>
        <v>-1022020</v>
      </c>
      <c r="K20" s="38">
        <f>J20-I20</f>
        <v>-182000</v>
      </c>
      <c r="L20" s="39"/>
      <c r="M20" s="39">
        <f>K20/I20</f>
        <v>0.21666150805933193</v>
      </c>
    </row>
    <row r="21" spans="5:13" x14ac:dyDescent="0.25">
      <c r="E21" s="33" t="s">
        <v>41</v>
      </c>
      <c r="F21" s="38">
        <f>8203600-8501572.54</f>
        <v>-297972.53999999911</v>
      </c>
      <c r="G21" s="38">
        <f>(8269600-8778092)</f>
        <v>-508492</v>
      </c>
      <c r="H21" s="38">
        <f>(8319600-9115655)</f>
        <v>-796055</v>
      </c>
      <c r="I21" s="38">
        <f>(8332600-8956870)</f>
        <v>-624270</v>
      </c>
      <c r="J21" s="38">
        <f>(8332600-9405270)</f>
        <v>-1072670</v>
      </c>
      <c r="K21" s="38">
        <f>J21-I21</f>
        <v>-448400</v>
      </c>
      <c r="L21" s="39"/>
      <c r="M21" s="39">
        <f>K21/I21</f>
        <v>0.71827894981338203</v>
      </c>
    </row>
    <row r="22" spans="5:13" x14ac:dyDescent="0.25">
      <c r="E22" s="33" t="s">
        <v>42</v>
      </c>
      <c r="F22" s="38">
        <f>4776560-4571440.64</f>
        <v>205119.36000000034</v>
      </c>
      <c r="G22" s="38">
        <f>(5080560-5525405)</f>
        <v>-444845</v>
      </c>
      <c r="H22" s="38">
        <f>(5080560-4394388)</f>
        <v>686172</v>
      </c>
      <c r="I22" s="38">
        <f>(5260000-4146345)</f>
        <v>1113655</v>
      </c>
      <c r="J22" s="38">
        <f>(5260000-4171945)</f>
        <v>1088055</v>
      </c>
      <c r="K22" s="38">
        <f t="shared" ref="K22:K24" si="2">J22-I22</f>
        <v>-25600</v>
      </c>
      <c r="L22" s="39"/>
      <c r="M22" s="39">
        <f>K22/I22</f>
        <v>-2.2987370415433864E-2</v>
      </c>
    </row>
    <row r="23" spans="5:13" x14ac:dyDescent="0.25">
      <c r="E23" s="33" t="s">
        <v>43</v>
      </c>
      <c r="F23" s="38"/>
      <c r="G23" s="38"/>
      <c r="H23" s="38">
        <f>(1900000-1710000)</f>
        <v>190000</v>
      </c>
      <c r="I23" s="38">
        <f>(1961000-1954900)</f>
        <v>6100</v>
      </c>
      <c r="J23" s="38">
        <f>(1961000-1954900)</f>
        <v>6100</v>
      </c>
      <c r="K23" s="38">
        <f>J23-I23</f>
        <v>0</v>
      </c>
      <c r="L23" s="39"/>
      <c r="M23" s="39">
        <f>K23/I23</f>
        <v>0</v>
      </c>
    </row>
    <row r="24" spans="5:13" x14ac:dyDescent="0.25">
      <c r="E24" s="33" t="s">
        <v>44</v>
      </c>
      <c r="F24" s="38">
        <f>250000-200000</f>
        <v>50000</v>
      </c>
      <c r="G24" s="38">
        <f>(350000-285000)</f>
        <v>65000</v>
      </c>
      <c r="H24" s="38">
        <f>(700000-285000)</f>
        <v>415000</v>
      </c>
      <c r="I24" s="38">
        <f>(625000-433500)</f>
        <v>191500</v>
      </c>
      <c r="J24" s="38">
        <f>(625000-433500)</f>
        <v>191500</v>
      </c>
      <c r="K24" s="38">
        <f t="shared" si="2"/>
        <v>0</v>
      </c>
      <c r="L24" s="39"/>
      <c r="M24" s="39">
        <f t="shared" ref="M24" si="3">K24/I24</f>
        <v>0</v>
      </c>
    </row>
    <row r="25" spans="5:13" x14ac:dyDescent="0.25">
      <c r="E25" s="40" t="s">
        <v>45</v>
      </c>
      <c r="F25" s="51">
        <f>SUM(F20:F24)</f>
        <v>826009.00000000093</v>
      </c>
      <c r="G25" s="52">
        <f>SUM(G20:G24)</f>
        <v>-1495840</v>
      </c>
      <c r="H25" s="52">
        <f t="shared" ref="H25" si="4">SUM(H20:H24)</f>
        <v>-128043</v>
      </c>
      <c r="I25" s="52">
        <f>SUM(I20:I24)</f>
        <v>-153035</v>
      </c>
      <c r="J25" s="52">
        <f>SUM(J20:J24)</f>
        <v>-809035</v>
      </c>
      <c r="K25" s="52">
        <f>SUM(K20:K24)</f>
        <v>-656000</v>
      </c>
      <c r="L25" s="53"/>
      <c r="M25" s="53">
        <f>K25/I25</f>
        <v>4.2866011043225409</v>
      </c>
    </row>
    <row r="27" spans="5:13" x14ac:dyDescent="0.25">
      <c r="E27" s="33" t="s">
        <v>51</v>
      </c>
    </row>
    <row r="28" spans="5:13" x14ac:dyDescent="0.25">
      <c r="E28" t="s">
        <v>47</v>
      </c>
    </row>
  </sheetData>
  <mergeCells count="1">
    <mergeCell ref="K8:M8"/>
  </mergeCells>
  <pageMargins left="0.7" right="0.7" top="0.75" bottom="0.75" header="0.3" footer="0.3"/>
  <pageSetup scale="47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Staffing Worksheet</vt:lpstr>
      <vt:lpstr>Staffing Worksheet Formulas</vt:lpstr>
      <vt:lpstr>Budget Worksheet</vt:lpstr>
      <vt:lpstr>Budget Worksheet Forumulas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datasis</cp:lastModifiedBy>
  <cp:lastPrinted>2016-01-29T23:30:15Z</cp:lastPrinted>
  <dcterms:created xsi:type="dcterms:W3CDTF">2016-01-29T21:58:00Z</dcterms:created>
  <dcterms:modified xsi:type="dcterms:W3CDTF">2016-04-05T16:30:21Z</dcterms:modified>
</cp:coreProperties>
</file>