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etersen_d\Documents\Mill levies\"/>
    </mc:Choice>
  </mc:AlternateContent>
  <xr:revisionPtr revIDLastSave="0" documentId="13_ncr:1_{5D4F3908-52D0-44F2-8F24-D35531489972}" xr6:coauthVersionLast="47" xr6:coauthVersionMax="47" xr10:uidLastSave="{00000000-0000-0000-0000-000000000000}"/>
  <bookViews>
    <workbookView xWindow="1815" yWindow="0" windowWidth="24720" windowHeight="15585" tabRatio="602" activeTab="8" xr2:uid="{00000000-000D-0000-FFFF-FFFF00000000}"/>
  </bookViews>
  <sheets>
    <sheet name="2016" sheetId="1" r:id="rId1"/>
    <sheet name="2017" sheetId="2" r:id="rId2"/>
    <sheet name="2018" sheetId="3" r:id="rId3"/>
    <sheet name="2019" sheetId="4" r:id="rId4"/>
    <sheet name="2020" sheetId="6" r:id="rId5"/>
    <sheet name="2021" sheetId="5" r:id="rId6"/>
    <sheet name="2022" sheetId="8" r:id="rId7"/>
    <sheet name="2023" sheetId="9" r:id="rId8"/>
    <sheet name="2024" sheetId="11" r:id="rId9"/>
  </sheets>
  <definedNames>
    <definedName name="_xlnm.Print_Titles" localSheetId="0">'2016'!$1:$5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1" i="11" l="1"/>
  <c r="K71" i="11"/>
  <c r="J71" i="11"/>
  <c r="G71" i="11"/>
  <c r="E71" i="11"/>
  <c r="I72" i="9"/>
  <c r="K72" i="9"/>
  <c r="J72" i="9"/>
  <c r="G72" i="9"/>
  <c r="E72" i="9"/>
  <c r="H57" i="11"/>
  <c r="D53" i="11"/>
  <c r="J53" i="11" s="1"/>
  <c r="D62" i="11"/>
  <c r="E62" i="11" s="1"/>
  <c r="D44" i="11"/>
  <c r="D34" i="11"/>
  <c r="E34" i="11" s="1"/>
  <c r="D29" i="11"/>
  <c r="E29" i="11" s="1"/>
  <c r="H26" i="11"/>
  <c r="D23" i="11"/>
  <c r="D55" i="11"/>
  <c r="J74" i="11"/>
  <c r="I74" i="11"/>
  <c r="G74" i="11"/>
  <c r="E74" i="11"/>
  <c r="J73" i="11"/>
  <c r="I73" i="11"/>
  <c r="G73" i="11"/>
  <c r="E73" i="11"/>
  <c r="J72" i="11"/>
  <c r="I72" i="11"/>
  <c r="G72" i="11"/>
  <c r="E72" i="11"/>
  <c r="J70" i="11"/>
  <c r="I70" i="11"/>
  <c r="G70" i="11"/>
  <c r="E70" i="11"/>
  <c r="J69" i="11"/>
  <c r="I69" i="11"/>
  <c r="G69" i="11"/>
  <c r="E69" i="11"/>
  <c r="K69" i="11" s="1"/>
  <c r="J68" i="11"/>
  <c r="I68" i="11"/>
  <c r="G68" i="11"/>
  <c r="E68" i="11"/>
  <c r="J67" i="11"/>
  <c r="I67" i="11"/>
  <c r="G67" i="11"/>
  <c r="E67" i="11"/>
  <c r="K67" i="11" s="1"/>
  <c r="J66" i="11"/>
  <c r="I66" i="11"/>
  <c r="G66" i="11"/>
  <c r="E66" i="11"/>
  <c r="J65" i="11"/>
  <c r="I65" i="11"/>
  <c r="G65" i="11"/>
  <c r="E65" i="11"/>
  <c r="J64" i="11"/>
  <c r="I64" i="11"/>
  <c r="G64" i="11"/>
  <c r="E64" i="11"/>
  <c r="J63" i="11"/>
  <c r="I63" i="11"/>
  <c r="G63" i="11"/>
  <c r="E63" i="11"/>
  <c r="K63" i="11" s="1"/>
  <c r="I62" i="11"/>
  <c r="G62" i="11"/>
  <c r="J61" i="11"/>
  <c r="I61" i="11"/>
  <c r="G61" i="11"/>
  <c r="E61" i="11"/>
  <c r="K61" i="11" s="1"/>
  <c r="J60" i="11"/>
  <c r="I60" i="11"/>
  <c r="K60" i="11" s="1"/>
  <c r="G60" i="11"/>
  <c r="E60" i="11"/>
  <c r="J59" i="11"/>
  <c r="I59" i="11"/>
  <c r="G59" i="11"/>
  <c r="E59" i="11"/>
  <c r="J58" i="11"/>
  <c r="I58" i="11"/>
  <c r="G58" i="11"/>
  <c r="E58" i="11"/>
  <c r="J57" i="11"/>
  <c r="I57" i="11"/>
  <c r="G57" i="11"/>
  <c r="E57" i="11"/>
  <c r="J56" i="11"/>
  <c r="I56" i="11"/>
  <c r="G56" i="11"/>
  <c r="E56" i="11"/>
  <c r="I55" i="11"/>
  <c r="G55" i="11"/>
  <c r="E55" i="11"/>
  <c r="J55" i="11"/>
  <c r="J54" i="11"/>
  <c r="I54" i="11"/>
  <c r="G54" i="11"/>
  <c r="E54" i="11"/>
  <c r="K54" i="11" s="1"/>
  <c r="I53" i="11"/>
  <c r="G53" i="11"/>
  <c r="E53" i="11"/>
  <c r="J52" i="11"/>
  <c r="I52" i="11"/>
  <c r="G52" i="11"/>
  <c r="E52" i="11"/>
  <c r="J51" i="11"/>
  <c r="I51" i="11"/>
  <c r="G51" i="11"/>
  <c r="E51" i="11"/>
  <c r="J50" i="11"/>
  <c r="I50" i="11"/>
  <c r="G50" i="11"/>
  <c r="E50" i="11"/>
  <c r="J49" i="11"/>
  <c r="I49" i="11"/>
  <c r="G49" i="11"/>
  <c r="E49" i="11"/>
  <c r="K49" i="11" s="1"/>
  <c r="I48" i="11"/>
  <c r="G48" i="11"/>
  <c r="E48" i="11"/>
  <c r="J47" i="11"/>
  <c r="I47" i="11"/>
  <c r="G47" i="11"/>
  <c r="E47" i="11"/>
  <c r="J46" i="11"/>
  <c r="I46" i="11"/>
  <c r="G46" i="11"/>
  <c r="E46" i="11"/>
  <c r="J45" i="11"/>
  <c r="I45" i="11"/>
  <c r="G45" i="11"/>
  <c r="E45" i="11"/>
  <c r="I44" i="11"/>
  <c r="G44" i="11"/>
  <c r="J44" i="11"/>
  <c r="J43" i="11"/>
  <c r="I43" i="11"/>
  <c r="K43" i="11" s="1"/>
  <c r="G43" i="11"/>
  <c r="E43" i="11"/>
  <c r="J42" i="11"/>
  <c r="I42" i="11"/>
  <c r="G42" i="11"/>
  <c r="E42" i="11"/>
  <c r="J41" i="11"/>
  <c r="I41" i="11"/>
  <c r="G41" i="11"/>
  <c r="E41" i="11"/>
  <c r="J40" i="11"/>
  <c r="I40" i="11"/>
  <c r="G40" i="11"/>
  <c r="E40" i="11"/>
  <c r="J39" i="11"/>
  <c r="I39" i="11"/>
  <c r="G39" i="11"/>
  <c r="E39" i="11"/>
  <c r="J38" i="11"/>
  <c r="I38" i="11"/>
  <c r="G38" i="11"/>
  <c r="E38" i="11"/>
  <c r="K38" i="11" s="1"/>
  <c r="J37" i="11"/>
  <c r="I37" i="11"/>
  <c r="G37" i="11"/>
  <c r="E37" i="11"/>
  <c r="J36" i="11"/>
  <c r="I36" i="11"/>
  <c r="G36" i="11"/>
  <c r="E36" i="11"/>
  <c r="J35" i="11"/>
  <c r="I35" i="11"/>
  <c r="G35" i="11"/>
  <c r="E35" i="11"/>
  <c r="J34" i="11"/>
  <c r="I34" i="11"/>
  <c r="G34" i="11"/>
  <c r="J33" i="11"/>
  <c r="I33" i="11"/>
  <c r="G33" i="11"/>
  <c r="E33" i="11"/>
  <c r="J32" i="11"/>
  <c r="I32" i="11"/>
  <c r="G32" i="11"/>
  <c r="E32" i="11"/>
  <c r="J31" i="11"/>
  <c r="I31" i="11"/>
  <c r="G31" i="11"/>
  <c r="E31" i="11"/>
  <c r="J30" i="11"/>
  <c r="I30" i="11"/>
  <c r="G30" i="11"/>
  <c r="E30" i="11"/>
  <c r="K30" i="11" s="1"/>
  <c r="J29" i="11"/>
  <c r="I29" i="11"/>
  <c r="G29" i="11"/>
  <c r="J28" i="11"/>
  <c r="I28" i="11"/>
  <c r="G28" i="11"/>
  <c r="E28" i="11"/>
  <c r="J27" i="11"/>
  <c r="I27" i="11"/>
  <c r="K27" i="11" s="1"/>
  <c r="G27" i="11"/>
  <c r="E27" i="11"/>
  <c r="I26" i="11"/>
  <c r="G26" i="11"/>
  <c r="E26" i="11"/>
  <c r="J25" i="11"/>
  <c r="I25" i="11"/>
  <c r="G25" i="11"/>
  <c r="E25" i="11"/>
  <c r="J24" i="11"/>
  <c r="I24" i="11"/>
  <c r="G24" i="11"/>
  <c r="E24" i="11"/>
  <c r="I23" i="11"/>
  <c r="G23" i="11"/>
  <c r="E23" i="11"/>
  <c r="J23" i="11"/>
  <c r="J22" i="11"/>
  <c r="I22" i="11"/>
  <c r="G22" i="11"/>
  <c r="E22" i="11"/>
  <c r="K22" i="11" s="1"/>
  <c r="J21" i="11"/>
  <c r="I21" i="11"/>
  <c r="G21" i="11"/>
  <c r="E21" i="11"/>
  <c r="I20" i="11"/>
  <c r="G20" i="11"/>
  <c r="E20" i="11"/>
  <c r="J20" i="11"/>
  <c r="J19" i="11"/>
  <c r="I19" i="11"/>
  <c r="G19" i="11"/>
  <c r="E19" i="11"/>
  <c r="I18" i="11"/>
  <c r="G18" i="11"/>
  <c r="E18" i="11"/>
  <c r="J17" i="11"/>
  <c r="I17" i="11"/>
  <c r="G17" i="11"/>
  <c r="E17" i="11"/>
  <c r="J16" i="11"/>
  <c r="I16" i="11"/>
  <c r="G16" i="11"/>
  <c r="E16" i="11"/>
  <c r="J15" i="11"/>
  <c r="I15" i="11"/>
  <c r="G15" i="11"/>
  <c r="E15" i="11"/>
  <c r="J14" i="11"/>
  <c r="I14" i="11"/>
  <c r="G14" i="11"/>
  <c r="E14" i="11"/>
  <c r="I13" i="11"/>
  <c r="G13" i="11"/>
  <c r="E13" i="11"/>
  <c r="I12" i="11"/>
  <c r="G12" i="11"/>
  <c r="E12" i="11"/>
  <c r="J11" i="11"/>
  <c r="I11" i="11"/>
  <c r="G11" i="11"/>
  <c r="E11" i="11"/>
  <c r="J10" i="11"/>
  <c r="I10" i="11"/>
  <c r="G10" i="11"/>
  <c r="E10" i="11"/>
  <c r="J9" i="11"/>
  <c r="I9" i="11"/>
  <c r="G9" i="11"/>
  <c r="E9" i="11"/>
  <c r="J8" i="11"/>
  <c r="I8" i="11"/>
  <c r="G8" i="11"/>
  <c r="E8" i="11"/>
  <c r="I7" i="11"/>
  <c r="G7" i="11"/>
  <c r="E7" i="11"/>
  <c r="K7" i="11" s="1"/>
  <c r="I6" i="11"/>
  <c r="G6" i="11"/>
  <c r="E6" i="11"/>
  <c r="I72" i="8"/>
  <c r="K72" i="8"/>
  <c r="J72" i="8"/>
  <c r="G72" i="8"/>
  <c r="E72" i="8"/>
  <c r="H58" i="9"/>
  <c r="J58" i="9" s="1"/>
  <c r="D66" i="9"/>
  <c r="J66" i="9" s="1"/>
  <c r="D55" i="9"/>
  <c r="E55" i="9" s="1"/>
  <c r="K55" i="9" s="1"/>
  <c r="D63" i="9"/>
  <c r="J23" i="9"/>
  <c r="D23" i="9"/>
  <c r="D19" i="9"/>
  <c r="D20" i="9"/>
  <c r="E20" i="9" s="1"/>
  <c r="D6" i="9"/>
  <c r="E6" i="9" s="1"/>
  <c r="D7" i="9"/>
  <c r="E7" i="9" s="1"/>
  <c r="J75" i="9"/>
  <c r="I75" i="9"/>
  <c r="G75" i="9"/>
  <c r="E75" i="9"/>
  <c r="K75" i="9" s="1"/>
  <c r="J74" i="9"/>
  <c r="I74" i="9"/>
  <c r="G74" i="9"/>
  <c r="E74" i="9"/>
  <c r="J73" i="9"/>
  <c r="I73" i="9"/>
  <c r="G73" i="9"/>
  <c r="E73" i="9"/>
  <c r="K73" i="9" s="1"/>
  <c r="J71" i="9"/>
  <c r="I71" i="9"/>
  <c r="G71" i="9"/>
  <c r="E71" i="9"/>
  <c r="K71" i="9" s="1"/>
  <c r="J70" i="9"/>
  <c r="I70" i="9"/>
  <c r="G70" i="9"/>
  <c r="E70" i="9"/>
  <c r="K70" i="9" s="1"/>
  <c r="J69" i="9"/>
  <c r="I69" i="9"/>
  <c r="G69" i="9"/>
  <c r="K69" i="9" s="1"/>
  <c r="E69" i="9"/>
  <c r="J68" i="9"/>
  <c r="I68" i="9"/>
  <c r="G68" i="9"/>
  <c r="E68" i="9"/>
  <c r="J67" i="9"/>
  <c r="I67" i="9"/>
  <c r="G67" i="9"/>
  <c r="E67" i="9"/>
  <c r="I66" i="9"/>
  <c r="G66" i="9"/>
  <c r="J65" i="9"/>
  <c r="I65" i="9"/>
  <c r="G65" i="9"/>
  <c r="E65" i="9"/>
  <c r="K65" i="9" s="1"/>
  <c r="J64" i="9"/>
  <c r="I64" i="9"/>
  <c r="G64" i="9"/>
  <c r="E64" i="9"/>
  <c r="K64" i="9" s="1"/>
  <c r="I63" i="9"/>
  <c r="G63" i="9"/>
  <c r="E63" i="9"/>
  <c r="J62" i="9"/>
  <c r="I62" i="9"/>
  <c r="G62" i="9"/>
  <c r="E62" i="9"/>
  <c r="K62" i="9" s="1"/>
  <c r="J61" i="9"/>
  <c r="I61" i="9"/>
  <c r="G61" i="9"/>
  <c r="E61" i="9"/>
  <c r="J60" i="9"/>
  <c r="I60" i="9"/>
  <c r="G60" i="9"/>
  <c r="E60" i="9"/>
  <c r="K60" i="9" s="1"/>
  <c r="J59" i="9"/>
  <c r="I59" i="9"/>
  <c r="G59" i="9"/>
  <c r="E59" i="9"/>
  <c r="I58" i="9"/>
  <c r="G58" i="9"/>
  <c r="E58" i="9"/>
  <c r="J56" i="9"/>
  <c r="I56" i="9"/>
  <c r="G56" i="9"/>
  <c r="E56" i="9"/>
  <c r="J55" i="9"/>
  <c r="I55" i="9"/>
  <c r="G55" i="9"/>
  <c r="J54" i="9"/>
  <c r="I54" i="9"/>
  <c r="G54" i="9"/>
  <c r="E54" i="9"/>
  <c r="J53" i="9"/>
  <c r="I53" i="9"/>
  <c r="G53" i="9"/>
  <c r="E53" i="9"/>
  <c r="K53" i="9" s="1"/>
  <c r="J52" i="9"/>
  <c r="I52" i="9"/>
  <c r="K52" i="9" s="1"/>
  <c r="G52" i="9"/>
  <c r="E52" i="9"/>
  <c r="J51" i="9"/>
  <c r="I51" i="9"/>
  <c r="G51" i="9"/>
  <c r="E51" i="9"/>
  <c r="J50" i="9"/>
  <c r="I50" i="9"/>
  <c r="G50" i="9"/>
  <c r="E50" i="9"/>
  <c r="J49" i="9"/>
  <c r="I49" i="9"/>
  <c r="G49" i="9"/>
  <c r="E49" i="9"/>
  <c r="I48" i="9"/>
  <c r="G48" i="9"/>
  <c r="E48" i="9"/>
  <c r="J47" i="9"/>
  <c r="I47" i="9"/>
  <c r="G47" i="9"/>
  <c r="E47" i="9"/>
  <c r="J46" i="9"/>
  <c r="I46" i="9"/>
  <c r="G46" i="9"/>
  <c r="E46" i="9"/>
  <c r="K46" i="9" s="1"/>
  <c r="K45" i="9"/>
  <c r="J45" i="9"/>
  <c r="I45" i="9"/>
  <c r="G45" i="9"/>
  <c r="E45" i="9"/>
  <c r="J44" i="9"/>
  <c r="I44" i="9"/>
  <c r="G44" i="9"/>
  <c r="D44" i="9"/>
  <c r="E44" i="9" s="1"/>
  <c r="J43" i="9"/>
  <c r="I43" i="9"/>
  <c r="G43" i="9"/>
  <c r="E43" i="9"/>
  <c r="J42" i="9"/>
  <c r="I42" i="9"/>
  <c r="G42" i="9"/>
  <c r="E42" i="9"/>
  <c r="J41" i="9"/>
  <c r="I41" i="9"/>
  <c r="G41" i="9"/>
  <c r="E41" i="9"/>
  <c r="J40" i="9"/>
  <c r="I40" i="9"/>
  <c r="G40" i="9"/>
  <c r="E40" i="9"/>
  <c r="K40" i="9" s="1"/>
  <c r="J39" i="9"/>
  <c r="I39" i="9"/>
  <c r="G39" i="9"/>
  <c r="E39" i="9"/>
  <c r="K39" i="9" s="1"/>
  <c r="J38" i="9"/>
  <c r="I38" i="9"/>
  <c r="G38" i="9"/>
  <c r="E38" i="9"/>
  <c r="J37" i="9"/>
  <c r="I37" i="9"/>
  <c r="G37" i="9"/>
  <c r="E37" i="9"/>
  <c r="K37" i="9" s="1"/>
  <c r="J36" i="9"/>
  <c r="I36" i="9"/>
  <c r="K36" i="9" s="1"/>
  <c r="G36" i="9"/>
  <c r="E36" i="9"/>
  <c r="J35" i="9"/>
  <c r="I35" i="9"/>
  <c r="G35" i="9"/>
  <c r="E35" i="9"/>
  <c r="K35" i="9" s="1"/>
  <c r="K34" i="9"/>
  <c r="J34" i="9"/>
  <c r="I34" i="9"/>
  <c r="G34" i="9"/>
  <c r="E34" i="9"/>
  <c r="J33" i="9"/>
  <c r="I33" i="9"/>
  <c r="G33" i="9"/>
  <c r="K33" i="9" s="1"/>
  <c r="E33" i="9"/>
  <c r="J32" i="9"/>
  <c r="I32" i="9"/>
  <c r="G32" i="9"/>
  <c r="E32" i="9"/>
  <c r="K32" i="9" s="1"/>
  <c r="J31" i="9"/>
  <c r="I31" i="9"/>
  <c r="G31" i="9"/>
  <c r="E31" i="9"/>
  <c r="K31" i="9" s="1"/>
  <c r="J30" i="9"/>
  <c r="I30" i="9"/>
  <c r="G30" i="9"/>
  <c r="E30" i="9"/>
  <c r="J29" i="9"/>
  <c r="I29" i="9"/>
  <c r="G29" i="9"/>
  <c r="E29" i="9"/>
  <c r="K29" i="9" s="1"/>
  <c r="J28" i="9"/>
  <c r="I28" i="9"/>
  <c r="G28" i="9"/>
  <c r="E28" i="9"/>
  <c r="J27" i="9"/>
  <c r="I27" i="9"/>
  <c r="G27" i="9"/>
  <c r="E27" i="9"/>
  <c r="I26" i="9"/>
  <c r="G26" i="9"/>
  <c r="E26" i="9"/>
  <c r="K26" i="9" s="1"/>
  <c r="J25" i="9"/>
  <c r="I25" i="9"/>
  <c r="G25" i="9"/>
  <c r="E25" i="9"/>
  <c r="J24" i="9"/>
  <c r="I24" i="9"/>
  <c r="G24" i="9"/>
  <c r="E24" i="9"/>
  <c r="K24" i="9" s="1"/>
  <c r="I23" i="9"/>
  <c r="G23" i="9"/>
  <c r="E23" i="9"/>
  <c r="J22" i="9"/>
  <c r="I22" i="9"/>
  <c r="G22" i="9"/>
  <c r="E22" i="9"/>
  <c r="K22" i="9" s="1"/>
  <c r="J21" i="9"/>
  <c r="I21" i="9"/>
  <c r="G21" i="9"/>
  <c r="E21" i="9"/>
  <c r="J20" i="9"/>
  <c r="I20" i="9"/>
  <c r="G20" i="9"/>
  <c r="J19" i="9"/>
  <c r="I19" i="9"/>
  <c r="G19" i="9"/>
  <c r="E19" i="9"/>
  <c r="K19" i="9" s="1"/>
  <c r="I18" i="9"/>
  <c r="G18" i="9"/>
  <c r="E18" i="9"/>
  <c r="J17" i="9"/>
  <c r="I17" i="9"/>
  <c r="G17" i="9"/>
  <c r="E17" i="9"/>
  <c r="K17" i="9" s="1"/>
  <c r="J16" i="9"/>
  <c r="I16" i="9"/>
  <c r="G16" i="9"/>
  <c r="E16" i="9"/>
  <c r="J15" i="9"/>
  <c r="I15" i="9"/>
  <c r="G15" i="9"/>
  <c r="E15" i="9"/>
  <c r="J14" i="9"/>
  <c r="I14" i="9"/>
  <c r="G14" i="9"/>
  <c r="E14" i="9"/>
  <c r="I13" i="9"/>
  <c r="G13" i="9"/>
  <c r="E13" i="9"/>
  <c r="K13" i="9" s="1"/>
  <c r="I12" i="9"/>
  <c r="G12" i="9"/>
  <c r="E12" i="9"/>
  <c r="J11" i="9"/>
  <c r="I11" i="9"/>
  <c r="G11" i="9"/>
  <c r="E11" i="9"/>
  <c r="K11" i="9" s="1"/>
  <c r="J10" i="9"/>
  <c r="I10" i="9"/>
  <c r="G10" i="9"/>
  <c r="K10" i="9" s="1"/>
  <c r="E10" i="9"/>
  <c r="J9" i="9"/>
  <c r="I9" i="9"/>
  <c r="G9" i="9"/>
  <c r="E9" i="9"/>
  <c r="J8" i="9"/>
  <c r="I8" i="9"/>
  <c r="G8" i="9"/>
  <c r="E8" i="9"/>
  <c r="I7" i="9"/>
  <c r="G7" i="9"/>
  <c r="I6" i="9"/>
  <c r="G6" i="9"/>
  <c r="K15" i="11" l="1"/>
  <c r="K17" i="11"/>
  <c r="K13" i="11"/>
  <c r="K34" i="11"/>
  <c r="K14" i="11"/>
  <c r="K32" i="11"/>
  <c r="K10" i="11"/>
  <c r="K12" i="11"/>
  <c r="K16" i="11"/>
  <c r="K37" i="11"/>
  <c r="K47" i="11"/>
  <c r="K33" i="11"/>
  <c r="K39" i="11"/>
  <c r="K41" i="11"/>
  <c r="K64" i="11"/>
  <c r="K73" i="11"/>
  <c r="K72" i="11"/>
  <c r="K70" i="11"/>
  <c r="K66" i="11"/>
  <c r="K65" i="11"/>
  <c r="K58" i="11"/>
  <c r="K57" i="11"/>
  <c r="K53" i="11"/>
  <c r="K52" i="11"/>
  <c r="K62" i="11"/>
  <c r="K51" i="11"/>
  <c r="K50" i="11"/>
  <c r="K45" i="11"/>
  <c r="K59" i="11"/>
  <c r="K40" i="11"/>
  <c r="K36" i="11"/>
  <c r="K35" i="11"/>
  <c r="K48" i="11"/>
  <c r="K29" i="11"/>
  <c r="K28" i="11"/>
  <c r="K26" i="11"/>
  <c r="K56" i="11"/>
  <c r="K42" i="11"/>
  <c r="K25" i="11"/>
  <c r="K24" i="11"/>
  <c r="K74" i="11"/>
  <c r="K68" i="11"/>
  <c r="K23" i="11"/>
  <c r="K21" i="11"/>
  <c r="K20" i="11"/>
  <c r="K19" i="11"/>
  <c r="K18" i="11"/>
  <c r="K46" i="11"/>
  <c r="K31" i="11"/>
  <c r="K11" i="11"/>
  <c r="K55" i="11"/>
  <c r="K9" i="11"/>
  <c r="K8" i="11"/>
  <c r="K6" i="11"/>
  <c r="E44" i="11"/>
  <c r="K44" i="11" s="1"/>
  <c r="K58" i="9"/>
  <c r="K74" i="9"/>
  <c r="K68" i="9"/>
  <c r="K67" i="9"/>
  <c r="E66" i="9"/>
  <c r="K66" i="9" s="1"/>
  <c r="K61" i="9"/>
  <c r="K59" i="9"/>
  <c r="K54" i="9"/>
  <c r="K63" i="9"/>
  <c r="K51" i="9"/>
  <c r="K50" i="9"/>
  <c r="K49" i="9"/>
  <c r="K48" i="9"/>
  <c r="K47" i="9"/>
  <c r="K44" i="9"/>
  <c r="K43" i="9"/>
  <c r="K41" i="9"/>
  <c r="K38" i="9"/>
  <c r="K30" i="9"/>
  <c r="K28" i="9"/>
  <c r="K27" i="9"/>
  <c r="K23" i="9"/>
  <c r="K21" i="9"/>
  <c r="K18" i="9"/>
  <c r="K16" i="9"/>
  <c r="K15" i="9"/>
  <c r="K14" i="9"/>
  <c r="K12" i="9"/>
  <c r="K56" i="9"/>
  <c r="K42" i="9"/>
  <c r="K25" i="9"/>
  <c r="K9" i="9"/>
  <c r="K20" i="9"/>
  <c r="K8" i="9"/>
  <c r="K6" i="9"/>
  <c r="K7" i="9"/>
  <c r="H58" i="8"/>
  <c r="D55" i="8"/>
  <c r="E55" i="8" s="1"/>
  <c r="K55" i="8" s="1"/>
  <c r="K31" i="8"/>
  <c r="K42" i="8"/>
  <c r="K56" i="8"/>
  <c r="K61" i="8"/>
  <c r="K62" i="8"/>
  <c r="K65" i="8"/>
  <c r="K69" i="8"/>
  <c r="K7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3" i="8"/>
  <c r="I74" i="8"/>
  <c r="I75" i="8"/>
  <c r="I32" i="8"/>
  <c r="I33" i="8"/>
  <c r="I34" i="8"/>
  <c r="I35" i="8"/>
  <c r="I29" i="8"/>
  <c r="K29" i="8" s="1"/>
  <c r="I30" i="8"/>
  <c r="I31" i="8"/>
  <c r="I28" i="8"/>
  <c r="I27" i="8"/>
  <c r="K27" i="8" s="1"/>
  <c r="I26" i="8"/>
  <c r="I25" i="8"/>
  <c r="I18" i="8"/>
  <c r="I19" i="8"/>
  <c r="I20" i="8"/>
  <c r="I21" i="8"/>
  <c r="K21" i="8" s="1"/>
  <c r="I22" i="8"/>
  <c r="I23" i="8"/>
  <c r="I24" i="8"/>
  <c r="I13" i="8"/>
  <c r="I14" i="8"/>
  <c r="I15" i="8"/>
  <c r="I16" i="8"/>
  <c r="I17" i="8"/>
  <c r="K17" i="8" s="1"/>
  <c r="I10" i="8"/>
  <c r="I11" i="8"/>
  <c r="I12" i="8"/>
  <c r="I8" i="8"/>
  <c r="I9" i="8"/>
  <c r="K9" i="8" s="1"/>
  <c r="I7" i="8"/>
  <c r="K7" i="8" s="1"/>
  <c r="I6" i="8"/>
  <c r="G10" i="8"/>
  <c r="K10" i="8" s="1"/>
  <c r="G11" i="8"/>
  <c r="G12" i="8"/>
  <c r="G13" i="8"/>
  <c r="G14" i="8"/>
  <c r="G15" i="8"/>
  <c r="G16" i="8"/>
  <c r="G17" i="8"/>
  <c r="G18" i="8"/>
  <c r="G19" i="8"/>
  <c r="K19" i="8" s="1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K45" i="8" s="1"/>
  <c r="G46" i="8"/>
  <c r="K46" i="8" s="1"/>
  <c r="G47" i="8"/>
  <c r="G48" i="8"/>
  <c r="G49" i="8"/>
  <c r="G50" i="8"/>
  <c r="K50" i="8" s="1"/>
  <c r="G51" i="8"/>
  <c r="G52" i="8"/>
  <c r="G53" i="8"/>
  <c r="G54" i="8"/>
  <c r="G55" i="8"/>
  <c r="G56" i="8"/>
  <c r="G57" i="8"/>
  <c r="G58" i="8"/>
  <c r="G59" i="8"/>
  <c r="G60" i="8"/>
  <c r="K60" i="8" s="1"/>
  <c r="G61" i="8"/>
  <c r="G62" i="8"/>
  <c r="G63" i="8"/>
  <c r="G64" i="8"/>
  <c r="G65" i="8"/>
  <c r="G66" i="8"/>
  <c r="G67" i="8"/>
  <c r="G68" i="8"/>
  <c r="G69" i="8"/>
  <c r="G70" i="8"/>
  <c r="G71" i="8"/>
  <c r="G73" i="8"/>
  <c r="K73" i="8" s="1"/>
  <c r="G74" i="8"/>
  <c r="G75" i="8"/>
  <c r="G7" i="8"/>
  <c r="G8" i="8"/>
  <c r="G9" i="8"/>
  <c r="G6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K23" i="8" s="1"/>
  <c r="E24" i="8"/>
  <c r="K24" i="8" s="1"/>
  <c r="E25" i="8"/>
  <c r="E26" i="8"/>
  <c r="E27" i="8"/>
  <c r="E28" i="8"/>
  <c r="E29" i="8"/>
  <c r="E30" i="8"/>
  <c r="E31" i="8"/>
  <c r="E32" i="8"/>
  <c r="K32" i="8" s="1"/>
  <c r="E33" i="8"/>
  <c r="K33" i="8" s="1"/>
  <c r="E34" i="8"/>
  <c r="K34" i="8" s="1"/>
  <c r="E35" i="8"/>
  <c r="K35" i="8" s="1"/>
  <c r="E36" i="8"/>
  <c r="K36" i="8" s="1"/>
  <c r="E37" i="8"/>
  <c r="K37" i="8" s="1"/>
  <c r="E38" i="8"/>
  <c r="K38" i="8" s="1"/>
  <c r="E39" i="8"/>
  <c r="K39" i="8" s="1"/>
  <c r="E40" i="8"/>
  <c r="K40" i="8" s="1"/>
  <c r="E41" i="8"/>
  <c r="K41" i="8" s="1"/>
  <c r="E42" i="8"/>
  <c r="E43" i="8"/>
  <c r="E45" i="8"/>
  <c r="E46" i="8"/>
  <c r="E47" i="8"/>
  <c r="E48" i="8"/>
  <c r="E49" i="8"/>
  <c r="K49" i="8" s="1"/>
  <c r="E50" i="8"/>
  <c r="E51" i="8"/>
  <c r="K51" i="8" s="1"/>
  <c r="E52" i="8"/>
  <c r="K52" i="8" s="1"/>
  <c r="E54" i="8"/>
  <c r="K54" i="8" s="1"/>
  <c r="E56" i="8"/>
  <c r="E57" i="8"/>
  <c r="K57" i="8" s="1"/>
  <c r="E58" i="8"/>
  <c r="E59" i="8"/>
  <c r="E60" i="8"/>
  <c r="E61" i="8"/>
  <c r="E62" i="8"/>
  <c r="E63" i="8"/>
  <c r="E64" i="8"/>
  <c r="K64" i="8" s="1"/>
  <c r="E65" i="8"/>
  <c r="E67" i="8"/>
  <c r="K67" i="8" s="1"/>
  <c r="E68" i="8"/>
  <c r="K68" i="8" s="1"/>
  <c r="E69" i="8"/>
  <c r="E70" i="8"/>
  <c r="K70" i="8" s="1"/>
  <c r="E71" i="8"/>
  <c r="K71" i="8" s="1"/>
  <c r="E73" i="8"/>
  <c r="E74" i="8"/>
  <c r="K74" i="8" s="1"/>
  <c r="E75" i="8"/>
  <c r="E6" i="8"/>
  <c r="K6" i="8" s="1"/>
  <c r="E7" i="8"/>
  <c r="D23" i="8"/>
  <c r="J75" i="8"/>
  <c r="J74" i="8"/>
  <c r="J73" i="8"/>
  <c r="J71" i="8"/>
  <c r="J70" i="8"/>
  <c r="J69" i="8"/>
  <c r="J68" i="8"/>
  <c r="J67" i="8"/>
  <c r="E66" i="8"/>
  <c r="J65" i="8"/>
  <c r="J64" i="8"/>
  <c r="J62" i="8"/>
  <c r="J61" i="8"/>
  <c r="J60" i="8"/>
  <c r="J58" i="8"/>
  <c r="J57" i="8"/>
  <c r="J56" i="8"/>
  <c r="J54" i="8"/>
  <c r="E53" i="8"/>
  <c r="J52" i="8"/>
  <c r="J51" i="8"/>
  <c r="J50" i="8"/>
  <c r="J49" i="8"/>
  <c r="J47" i="8"/>
  <c r="J46" i="8"/>
  <c r="J45" i="8"/>
  <c r="D44" i="8"/>
  <c r="E44" i="8" s="1"/>
  <c r="K44" i="8" s="1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5" i="8"/>
  <c r="J24" i="8"/>
  <c r="J22" i="8"/>
  <c r="K22" i="8"/>
  <c r="J21" i="8"/>
  <c r="J20" i="8"/>
  <c r="J19" i="8"/>
  <c r="K18" i="8"/>
  <c r="J17" i="8"/>
  <c r="J16" i="8"/>
  <c r="J15" i="8"/>
  <c r="J14" i="8"/>
  <c r="K14" i="8"/>
  <c r="J11" i="8"/>
  <c r="K11" i="8"/>
  <c r="J10" i="8"/>
  <c r="J9" i="8"/>
  <c r="J8" i="8"/>
  <c r="F6" i="5"/>
  <c r="K58" i="8" l="1"/>
  <c r="K66" i="8"/>
  <c r="K59" i="8"/>
  <c r="J55" i="8"/>
  <c r="K53" i="8"/>
  <c r="K63" i="8"/>
  <c r="K48" i="8"/>
  <c r="K47" i="8"/>
  <c r="K43" i="8"/>
  <c r="K30" i="8"/>
  <c r="K20" i="8"/>
  <c r="K15" i="8"/>
  <c r="K16" i="8"/>
  <c r="K12" i="8"/>
  <c r="K8" i="8"/>
  <c r="K28" i="8"/>
  <c r="K25" i="8"/>
  <c r="K26" i="8"/>
  <c r="J23" i="8"/>
  <c r="J59" i="8"/>
  <c r="J44" i="8"/>
  <c r="J66" i="8"/>
  <c r="J53" i="8"/>
  <c r="K13" i="8"/>
  <c r="J26" i="5"/>
  <c r="I26" i="5"/>
  <c r="K26" i="5" s="1"/>
  <c r="D66" i="5"/>
  <c r="E66" i="5" s="1"/>
  <c r="L66" i="5" s="1"/>
  <c r="D59" i="5"/>
  <c r="K59" i="5" s="1"/>
  <c r="K50" i="5"/>
  <c r="E50" i="5"/>
  <c r="L50" i="5" s="1"/>
  <c r="F50" i="5"/>
  <c r="D69" i="5"/>
  <c r="E69" i="5" s="1"/>
  <c r="L69" i="5" s="1"/>
  <c r="D23" i="5"/>
  <c r="K23" i="5" s="1"/>
  <c r="D55" i="5"/>
  <c r="E55" i="5" s="1"/>
  <c r="L55" i="5" s="1"/>
  <c r="K40" i="5"/>
  <c r="F40" i="5"/>
  <c r="E40" i="5"/>
  <c r="L40" i="5" s="1"/>
  <c r="D53" i="5"/>
  <c r="K53" i="5" s="1"/>
  <c r="D13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1" i="5"/>
  <c r="F42" i="5"/>
  <c r="F43" i="5"/>
  <c r="F45" i="5"/>
  <c r="F46" i="5"/>
  <c r="F47" i="5"/>
  <c r="F49" i="5"/>
  <c r="F51" i="5"/>
  <c r="F52" i="5"/>
  <c r="F54" i="5"/>
  <c r="F56" i="5"/>
  <c r="F57" i="5"/>
  <c r="F58" i="5"/>
  <c r="F59" i="5"/>
  <c r="F60" i="5"/>
  <c r="F61" i="5"/>
  <c r="F62" i="5"/>
  <c r="F63" i="5"/>
  <c r="F64" i="5"/>
  <c r="F65" i="5"/>
  <c r="F67" i="5"/>
  <c r="F68" i="5"/>
  <c r="F69" i="5"/>
  <c r="F70" i="5"/>
  <c r="F71" i="5"/>
  <c r="F72" i="5"/>
  <c r="F73" i="5"/>
  <c r="F74" i="5"/>
  <c r="F75" i="5"/>
  <c r="E25" i="5"/>
  <c r="L25" i="5" s="1"/>
  <c r="E9" i="5"/>
  <c r="L9" i="5" s="1"/>
  <c r="E10" i="5"/>
  <c r="L10" i="5" s="1"/>
  <c r="E11" i="5"/>
  <c r="L11" i="5" s="1"/>
  <c r="E12" i="5"/>
  <c r="L12" i="5" s="1"/>
  <c r="E13" i="5"/>
  <c r="L13" i="5" s="1"/>
  <c r="E14" i="5"/>
  <c r="L14" i="5" s="1"/>
  <c r="E15" i="5"/>
  <c r="L15" i="5" s="1"/>
  <c r="E16" i="5"/>
  <c r="L16" i="5" s="1"/>
  <c r="E17" i="5"/>
  <c r="L17" i="5" s="1"/>
  <c r="E18" i="5"/>
  <c r="L18" i="5" s="1"/>
  <c r="E19" i="5"/>
  <c r="L19" i="5" s="1"/>
  <c r="E20" i="5"/>
  <c r="L20" i="5" s="1"/>
  <c r="E21" i="5"/>
  <c r="L21" i="5" s="1"/>
  <c r="E22" i="5"/>
  <c r="L22" i="5" s="1"/>
  <c r="E24" i="5"/>
  <c r="L24" i="5" s="1"/>
  <c r="E26" i="5"/>
  <c r="E27" i="5"/>
  <c r="L27" i="5" s="1"/>
  <c r="E28" i="5"/>
  <c r="E29" i="5"/>
  <c r="L29" i="5" s="1"/>
  <c r="E30" i="5"/>
  <c r="L30" i="5" s="1"/>
  <c r="E31" i="5"/>
  <c r="L31" i="5" s="1"/>
  <c r="E32" i="5"/>
  <c r="L32" i="5" s="1"/>
  <c r="E33" i="5"/>
  <c r="L33" i="5" s="1"/>
  <c r="E34" i="5"/>
  <c r="L34" i="5" s="1"/>
  <c r="E35" i="5"/>
  <c r="L35" i="5" s="1"/>
  <c r="E36" i="5"/>
  <c r="E37" i="5"/>
  <c r="L37" i="5" s="1"/>
  <c r="E38" i="5"/>
  <c r="E39" i="5"/>
  <c r="L39" i="5" s="1"/>
  <c r="E41" i="5"/>
  <c r="L41" i="5" s="1"/>
  <c r="E42" i="5"/>
  <c r="L42" i="5" s="1"/>
  <c r="E43" i="5"/>
  <c r="L43" i="5" s="1"/>
  <c r="E45" i="5"/>
  <c r="L45" i="5" s="1"/>
  <c r="E46" i="5"/>
  <c r="L46" i="5" s="1"/>
  <c r="E47" i="5"/>
  <c r="L47" i="5" s="1"/>
  <c r="E49" i="5"/>
  <c r="L49" i="5" s="1"/>
  <c r="E51" i="5"/>
  <c r="L51" i="5" s="1"/>
  <c r="E52" i="5"/>
  <c r="L52" i="5" s="1"/>
  <c r="E54" i="5"/>
  <c r="L54" i="5" s="1"/>
  <c r="E56" i="5"/>
  <c r="L56" i="5" s="1"/>
  <c r="E57" i="5"/>
  <c r="L57" i="5" s="1"/>
  <c r="E58" i="5"/>
  <c r="L58" i="5" s="1"/>
  <c r="E59" i="5"/>
  <c r="L59" i="5" s="1"/>
  <c r="E60" i="5"/>
  <c r="L60" i="5" s="1"/>
  <c r="E61" i="5"/>
  <c r="L61" i="5" s="1"/>
  <c r="E62" i="5"/>
  <c r="L62" i="5" s="1"/>
  <c r="E63" i="5"/>
  <c r="L63" i="5" s="1"/>
  <c r="E64" i="5"/>
  <c r="E65" i="5"/>
  <c r="L65" i="5" s="1"/>
  <c r="E67" i="5"/>
  <c r="L67" i="5" s="1"/>
  <c r="E68" i="5"/>
  <c r="L68" i="5" s="1"/>
  <c r="E70" i="5"/>
  <c r="L70" i="5" s="1"/>
  <c r="E71" i="5"/>
  <c r="L71" i="5" s="1"/>
  <c r="E72" i="5"/>
  <c r="L72" i="5" s="1"/>
  <c r="E73" i="5"/>
  <c r="L73" i="5" s="1"/>
  <c r="E74" i="5"/>
  <c r="L74" i="5" s="1"/>
  <c r="E75" i="5"/>
  <c r="L75" i="5" s="1"/>
  <c r="E8" i="5"/>
  <c r="L8" i="5" s="1"/>
  <c r="E7" i="5"/>
  <c r="L7" i="5" s="1"/>
  <c r="E6" i="5"/>
  <c r="L6" i="5" s="1"/>
  <c r="D44" i="5"/>
  <c r="K44" i="5" s="1"/>
  <c r="K70" i="5"/>
  <c r="K9" i="5"/>
  <c r="K8" i="5"/>
  <c r="K41" i="5"/>
  <c r="K75" i="5"/>
  <c r="K74" i="5"/>
  <c r="K73" i="5"/>
  <c r="K72" i="5"/>
  <c r="K71" i="5"/>
  <c r="K68" i="5"/>
  <c r="K67" i="5"/>
  <c r="K65" i="5"/>
  <c r="L64" i="5"/>
  <c r="K64" i="5"/>
  <c r="K63" i="5"/>
  <c r="K62" i="5"/>
  <c r="K61" i="5"/>
  <c r="K60" i="5"/>
  <c r="K58" i="5"/>
  <c r="K57" i="5"/>
  <c r="K56" i="5"/>
  <c r="K54" i="5"/>
  <c r="K52" i="5"/>
  <c r="K51" i="5"/>
  <c r="K49" i="5"/>
  <c r="K47" i="5"/>
  <c r="K46" i="5"/>
  <c r="K45" i="5"/>
  <c r="K43" i="5"/>
  <c r="K42" i="5"/>
  <c r="K39" i="5"/>
  <c r="L38" i="5"/>
  <c r="K38" i="5"/>
  <c r="K37" i="5"/>
  <c r="L36" i="5"/>
  <c r="K36" i="5"/>
  <c r="K35" i="5"/>
  <c r="K34" i="5"/>
  <c r="K33" i="5"/>
  <c r="K32" i="5"/>
  <c r="K31" i="5"/>
  <c r="K30" i="5"/>
  <c r="K29" i="5"/>
  <c r="L28" i="5"/>
  <c r="K28" i="5"/>
  <c r="K27" i="5"/>
  <c r="K25" i="5"/>
  <c r="K24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7" i="5"/>
  <c r="K6" i="5"/>
  <c r="E62" i="4"/>
  <c r="L62" i="4" s="1"/>
  <c r="D62" i="4"/>
  <c r="E51" i="4"/>
  <c r="D51" i="4"/>
  <c r="K51" i="4" s="1"/>
  <c r="J26" i="4"/>
  <c r="L26" i="4" s="1"/>
  <c r="I26" i="4"/>
  <c r="K26" i="4" s="1"/>
  <c r="E23" i="4"/>
  <c r="L23" i="4" s="1"/>
  <c r="D23" i="4"/>
  <c r="J9" i="4"/>
  <c r="I9" i="4"/>
  <c r="K9" i="4" s="1"/>
  <c r="J8" i="4"/>
  <c r="I8" i="4"/>
  <c r="L71" i="4"/>
  <c r="K71" i="4"/>
  <c r="F71" i="4"/>
  <c r="L70" i="4"/>
  <c r="K70" i="4"/>
  <c r="F70" i="4"/>
  <c r="L69" i="4"/>
  <c r="K69" i="4"/>
  <c r="F69" i="4"/>
  <c r="L68" i="4"/>
  <c r="K68" i="4"/>
  <c r="F68" i="4"/>
  <c r="L67" i="4"/>
  <c r="K67" i="4"/>
  <c r="F67" i="4"/>
  <c r="L66" i="4"/>
  <c r="K66" i="4"/>
  <c r="F66" i="4"/>
  <c r="L65" i="4"/>
  <c r="K65" i="4"/>
  <c r="F65" i="4"/>
  <c r="L64" i="4"/>
  <c r="K64" i="4"/>
  <c r="F64" i="4"/>
  <c r="L63" i="4"/>
  <c r="K63" i="4"/>
  <c r="F63" i="4"/>
  <c r="K62" i="4"/>
  <c r="L61" i="4"/>
  <c r="K61" i="4"/>
  <c r="F61" i="4"/>
  <c r="L60" i="4"/>
  <c r="K60" i="4"/>
  <c r="F60" i="4"/>
  <c r="L59" i="4"/>
  <c r="K59" i="4"/>
  <c r="F59" i="4"/>
  <c r="L58" i="4"/>
  <c r="K58" i="4"/>
  <c r="F58" i="4"/>
  <c r="L57" i="4"/>
  <c r="K57" i="4"/>
  <c r="F57" i="4"/>
  <c r="L56" i="4"/>
  <c r="K56" i="4"/>
  <c r="F56" i="4"/>
  <c r="L55" i="4"/>
  <c r="K55" i="4"/>
  <c r="F55" i="4"/>
  <c r="L54" i="4"/>
  <c r="K54" i="4"/>
  <c r="F54" i="4"/>
  <c r="L53" i="4"/>
  <c r="K53" i="4"/>
  <c r="F53" i="4"/>
  <c r="L52" i="4"/>
  <c r="K52" i="4"/>
  <c r="F52" i="4"/>
  <c r="L51" i="4"/>
  <c r="L50" i="4"/>
  <c r="K50" i="4"/>
  <c r="F50" i="4"/>
  <c r="L49" i="4"/>
  <c r="K49" i="4"/>
  <c r="F49" i="4"/>
  <c r="L48" i="4"/>
  <c r="K48" i="4"/>
  <c r="F48" i="4"/>
  <c r="L47" i="4"/>
  <c r="K47" i="4"/>
  <c r="F47" i="4"/>
  <c r="L46" i="4"/>
  <c r="K46" i="4"/>
  <c r="F46" i="4"/>
  <c r="L45" i="4"/>
  <c r="K45" i="4"/>
  <c r="F45" i="4"/>
  <c r="L44" i="4"/>
  <c r="K44" i="4"/>
  <c r="F44" i="4"/>
  <c r="L43" i="4"/>
  <c r="K43" i="4"/>
  <c r="F43" i="4"/>
  <c r="L42" i="4"/>
  <c r="K42" i="4"/>
  <c r="F42" i="4"/>
  <c r="L41" i="4"/>
  <c r="K41" i="4"/>
  <c r="F41" i="4"/>
  <c r="L40" i="4"/>
  <c r="K40" i="4"/>
  <c r="F40" i="4"/>
  <c r="L39" i="4"/>
  <c r="K39" i="4"/>
  <c r="F39" i="4"/>
  <c r="L38" i="4"/>
  <c r="K38" i="4"/>
  <c r="F38" i="4"/>
  <c r="L37" i="4"/>
  <c r="K37" i="4"/>
  <c r="F37" i="4"/>
  <c r="L36" i="4"/>
  <c r="K36" i="4"/>
  <c r="F36" i="4"/>
  <c r="L35" i="4"/>
  <c r="K35" i="4"/>
  <c r="F35" i="4"/>
  <c r="L34" i="4"/>
  <c r="K34" i="4"/>
  <c r="F34" i="4"/>
  <c r="L33" i="4"/>
  <c r="K33" i="4"/>
  <c r="F33" i="4"/>
  <c r="L32" i="4"/>
  <c r="K32" i="4"/>
  <c r="F32" i="4"/>
  <c r="L31" i="4"/>
  <c r="K31" i="4"/>
  <c r="F31" i="4"/>
  <c r="L30" i="4"/>
  <c r="K30" i="4"/>
  <c r="F30" i="4"/>
  <c r="L29" i="4"/>
  <c r="K29" i="4"/>
  <c r="F29" i="4"/>
  <c r="L28" i="4"/>
  <c r="K28" i="4"/>
  <c r="F28" i="4"/>
  <c r="L27" i="4"/>
  <c r="K27" i="4"/>
  <c r="F27" i="4"/>
  <c r="F26" i="4"/>
  <c r="L25" i="4"/>
  <c r="K25" i="4"/>
  <c r="F25" i="4"/>
  <c r="L24" i="4"/>
  <c r="K24" i="4"/>
  <c r="F24" i="4"/>
  <c r="K23" i="4"/>
  <c r="L22" i="4"/>
  <c r="K22" i="4"/>
  <c r="F22" i="4"/>
  <c r="L21" i="4"/>
  <c r="K21" i="4"/>
  <c r="F21" i="4"/>
  <c r="L20" i="4"/>
  <c r="K20" i="4"/>
  <c r="F20" i="4"/>
  <c r="L19" i="4"/>
  <c r="K19" i="4"/>
  <c r="F19" i="4"/>
  <c r="L18" i="4"/>
  <c r="K18" i="4"/>
  <c r="F18" i="4"/>
  <c r="L17" i="4"/>
  <c r="K17" i="4"/>
  <c r="F17" i="4"/>
  <c r="L16" i="4"/>
  <c r="K16" i="4"/>
  <c r="F16" i="4"/>
  <c r="L15" i="4"/>
  <c r="K15" i="4"/>
  <c r="F15" i="4"/>
  <c r="L14" i="4"/>
  <c r="K14" i="4"/>
  <c r="F14" i="4"/>
  <c r="L13" i="4"/>
  <c r="K13" i="4"/>
  <c r="F13" i="4"/>
  <c r="L12" i="4"/>
  <c r="K12" i="4"/>
  <c r="F12" i="4"/>
  <c r="L11" i="4"/>
  <c r="K11" i="4"/>
  <c r="F11" i="4"/>
  <c r="L10" i="4"/>
  <c r="K10" i="4"/>
  <c r="F10" i="4"/>
  <c r="L9" i="4"/>
  <c r="F9" i="4"/>
  <c r="L8" i="4"/>
  <c r="K8" i="4"/>
  <c r="F8" i="4"/>
  <c r="L7" i="4"/>
  <c r="K7" i="4"/>
  <c r="F7" i="4"/>
  <c r="L6" i="4"/>
  <c r="K6" i="4"/>
  <c r="F6" i="4"/>
  <c r="E62" i="3"/>
  <c r="L62" i="3" s="1"/>
  <c r="D62" i="3"/>
  <c r="K62" i="3" s="1"/>
  <c r="E49" i="3"/>
  <c r="L49" i="3" s="1"/>
  <c r="D49" i="3"/>
  <c r="K49" i="3" s="1"/>
  <c r="H45" i="3"/>
  <c r="G45" i="3"/>
  <c r="L71" i="3"/>
  <c r="K71" i="3"/>
  <c r="F71" i="3"/>
  <c r="E23" i="3"/>
  <c r="L23" i="3"/>
  <c r="D23" i="3"/>
  <c r="K23" i="3" s="1"/>
  <c r="E51" i="3"/>
  <c r="F51" i="3"/>
  <c r="D51" i="3"/>
  <c r="J9" i="3"/>
  <c r="I9" i="3"/>
  <c r="J8" i="3"/>
  <c r="L8" i="3" s="1"/>
  <c r="I8" i="3"/>
  <c r="L70" i="3"/>
  <c r="K70" i="3"/>
  <c r="F70" i="3"/>
  <c r="L69" i="3"/>
  <c r="K69" i="3"/>
  <c r="F69" i="3"/>
  <c r="L68" i="3"/>
  <c r="K68" i="3"/>
  <c r="F68" i="3"/>
  <c r="L67" i="3"/>
  <c r="K67" i="3"/>
  <c r="F67" i="3"/>
  <c r="L66" i="3"/>
  <c r="K66" i="3"/>
  <c r="F66" i="3"/>
  <c r="L65" i="3"/>
  <c r="K65" i="3"/>
  <c r="F65" i="3"/>
  <c r="L64" i="3"/>
  <c r="K64" i="3"/>
  <c r="F64" i="3"/>
  <c r="L63" i="3"/>
  <c r="K63" i="3"/>
  <c r="F63" i="3"/>
  <c r="L61" i="3"/>
  <c r="K61" i="3"/>
  <c r="F61" i="3"/>
  <c r="L60" i="3"/>
  <c r="K60" i="3"/>
  <c r="F60" i="3"/>
  <c r="L59" i="3"/>
  <c r="K59" i="3"/>
  <c r="F59" i="3"/>
  <c r="L58" i="3"/>
  <c r="K58" i="3"/>
  <c r="F58" i="3"/>
  <c r="L57" i="3"/>
  <c r="K57" i="3"/>
  <c r="F57" i="3"/>
  <c r="L56" i="3"/>
  <c r="K56" i="3"/>
  <c r="F56" i="3"/>
  <c r="L55" i="3"/>
  <c r="K55" i="3"/>
  <c r="F55" i="3"/>
  <c r="L54" i="3"/>
  <c r="K54" i="3"/>
  <c r="F54" i="3"/>
  <c r="L53" i="3"/>
  <c r="K53" i="3"/>
  <c r="F53" i="3"/>
  <c r="L52" i="3"/>
  <c r="K52" i="3"/>
  <c r="F52" i="3"/>
  <c r="L51" i="3"/>
  <c r="K51" i="3"/>
  <c r="L50" i="3"/>
  <c r="K50" i="3"/>
  <c r="F50" i="3"/>
  <c r="F49" i="3"/>
  <c r="L48" i="3"/>
  <c r="K48" i="3"/>
  <c r="F48" i="3"/>
  <c r="L47" i="3"/>
  <c r="K47" i="3"/>
  <c r="F47" i="3"/>
  <c r="L46" i="3"/>
  <c r="K46" i="3"/>
  <c r="F46" i="3"/>
  <c r="L45" i="3"/>
  <c r="K45" i="3"/>
  <c r="F45" i="3"/>
  <c r="L44" i="3"/>
  <c r="K44" i="3"/>
  <c r="F44" i="3"/>
  <c r="L43" i="3"/>
  <c r="K43" i="3"/>
  <c r="F43" i="3"/>
  <c r="L42" i="3"/>
  <c r="K42" i="3"/>
  <c r="F42" i="3"/>
  <c r="L41" i="3"/>
  <c r="K41" i="3"/>
  <c r="F41" i="3"/>
  <c r="L40" i="3"/>
  <c r="K40" i="3"/>
  <c r="F40" i="3"/>
  <c r="L39" i="3"/>
  <c r="K39" i="3"/>
  <c r="F39" i="3"/>
  <c r="L38" i="3"/>
  <c r="K38" i="3"/>
  <c r="F38" i="3"/>
  <c r="L37" i="3"/>
  <c r="K37" i="3"/>
  <c r="F37" i="3"/>
  <c r="L36" i="3"/>
  <c r="K36" i="3"/>
  <c r="F36" i="3"/>
  <c r="L35" i="3"/>
  <c r="K35" i="3"/>
  <c r="F35" i="3"/>
  <c r="L34" i="3"/>
  <c r="K34" i="3"/>
  <c r="F34" i="3"/>
  <c r="L33" i="3"/>
  <c r="K33" i="3"/>
  <c r="F33" i="3"/>
  <c r="L32" i="3"/>
  <c r="K32" i="3"/>
  <c r="F32" i="3"/>
  <c r="L31" i="3"/>
  <c r="K31" i="3"/>
  <c r="F31" i="3"/>
  <c r="L30" i="3"/>
  <c r="K30" i="3"/>
  <c r="F30" i="3"/>
  <c r="L29" i="3"/>
  <c r="K29" i="3"/>
  <c r="F29" i="3"/>
  <c r="L28" i="3"/>
  <c r="K28" i="3"/>
  <c r="F28" i="3"/>
  <c r="L27" i="3"/>
  <c r="K27" i="3"/>
  <c r="F27" i="3"/>
  <c r="L26" i="3"/>
  <c r="K26" i="3"/>
  <c r="F26" i="3"/>
  <c r="L25" i="3"/>
  <c r="K25" i="3"/>
  <c r="F25" i="3"/>
  <c r="L24" i="3"/>
  <c r="K24" i="3"/>
  <c r="F24" i="3"/>
  <c r="L22" i="3"/>
  <c r="K22" i="3"/>
  <c r="F22" i="3"/>
  <c r="L21" i="3"/>
  <c r="K21" i="3"/>
  <c r="F21" i="3"/>
  <c r="L20" i="3"/>
  <c r="K20" i="3"/>
  <c r="F20" i="3"/>
  <c r="L19" i="3"/>
  <c r="K19" i="3"/>
  <c r="F19" i="3"/>
  <c r="L18" i="3"/>
  <c r="K18" i="3"/>
  <c r="F18" i="3"/>
  <c r="L17" i="3"/>
  <c r="K17" i="3"/>
  <c r="F17" i="3"/>
  <c r="L16" i="3"/>
  <c r="K16" i="3"/>
  <c r="F16" i="3"/>
  <c r="L15" i="3"/>
  <c r="K15" i="3"/>
  <c r="F15" i="3"/>
  <c r="L14" i="3"/>
  <c r="K14" i="3"/>
  <c r="F14" i="3"/>
  <c r="L13" i="3"/>
  <c r="K13" i="3"/>
  <c r="F13" i="3"/>
  <c r="L12" i="3"/>
  <c r="K12" i="3"/>
  <c r="F12" i="3"/>
  <c r="L11" i="3"/>
  <c r="K11" i="3"/>
  <c r="F11" i="3"/>
  <c r="L10" i="3"/>
  <c r="K10" i="3"/>
  <c r="F10" i="3"/>
  <c r="K9" i="3"/>
  <c r="L9" i="3"/>
  <c r="F9" i="3"/>
  <c r="K8" i="3"/>
  <c r="F8" i="3"/>
  <c r="L7" i="3"/>
  <c r="K7" i="3"/>
  <c r="F7" i="3"/>
  <c r="L6" i="3"/>
  <c r="K6" i="3"/>
  <c r="F6" i="3"/>
  <c r="F65" i="2"/>
  <c r="E62" i="2"/>
  <c r="L62" i="2" s="1"/>
  <c r="D62" i="2"/>
  <c r="K62" i="2" s="1"/>
  <c r="J59" i="2"/>
  <c r="L59" i="2" s="1"/>
  <c r="I59" i="2"/>
  <c r="F55" i="2"/>
  <c r="E51" i="2"/>
  <c r="L51" i="2" s="1"/>
  <c r="D51" i="2"/>
  <c r="K51" i="2" s="1"/>
  <c r="E49" i="2"/>
  <c r="D49" i="2"/>
  <c r="H45" i="2"/>
  <c r="L45" i="2" s="1"/>
  <c r="G45" i="2"/>
  <c r="K4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6" i="2"/>
  <c r="F57" i="2"/>
  <c r="F58" i="2"/>
  <c r="F59" i="2"/>
  <c r="F60" i="2"/>
  <c r="F61" i="2"/>
  <c r="F62" i="2"/>
  <c r="F63" i="2"/>
  <c r="F64" i="2"/>
  <c r="F66" i="2"/>
  <c r="F67" i="2"/>
  <c r="F68" i="2"/>
  <c r="F69" i="2"/>
  <c r="F70" i="2"/>
  <c r="F41" i="2"/>
  <c r="J26" i="2"/>
  <c r="L26" i="2" s="1"/>
  <c r="I26" i="2"/>
  <c r="K26" i="2" s="1"/>
  <c r="E23" i="2"/>
  <c r="L23" i="2" s="1"/>
  <c r="D23" i="2"/>
  <c r="K23" i="2" s="1"/>
  <c r="L20" i="2"/>
  <c r="L40" i="2"/>
  <c r="K40" i="2"/>
  <c r="J9" i="2"/>
  <c r="L9" i="2" s="1"/>
  <c r="I9" i="2"/>
  <c r="K9" i="2" s="1"/>
  <c r="L7" i="2"/>
  <c r="L10" i="2"/>
  <c r="L11" i="2"/>
  <c r="L12" i="2"/>
  <c r="L13" i="2"/>
  <c r="L14" i="2"/>
  <c r="L15" i="2"/>
  <c r="L16" i="2"/>
  <c r="L17" i="2"/>
  <c r="L18" i="2"/>
  <c r="L19" i="2"/>
  <c r="L21" i="2"/>
  <c r="L22" i="2"/>
  <c r="L24" i="2"/>
  <c r="L25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1" i="2"/>
  <c r="L42" i="2"/>
  <c r="L43" i="2"/>
  <c r="L44" i="2"/>
  <c r="L46" i="2"/>
  <c r="L47" i="2"/>
  <c r="L48" i="2"/>
  <c r="L49" i="2"/>
  <c r="L50" i="2"/>
  <c r="L52" i="2"/>
  <c r="L53" i="2"/>
  <c r="L54" i="2"/>
  <c r="L55" i="2"/>
  <c r="L56" i="2"/>
  <c r="L57" i="2"/>
  <c r="L58" i="2"/>
  <c r="L60" i="2"/>
  <c r="L61" i="2"/>
  <c r="L63" i="2"/>
  <c r="L64" i="2"/>
  <c r="L65" i="2"/>
  <c r="L66" i="2"/>
  <c r="L67" i="2"/>
  <c r="L68" i="2"/>
  <c r="L69" i="2"/>
  <c r="L70" i="2"/>
  <c r="K7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4" i="2"/>
  <c r="K25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1" i="2"/>
  <c r="K42" i="2"/>
  <c r="K43" i="2"/>
  <c r="K44" i="2"/>
  <c r="K46" i="2"/>
  <c r="K47" i="2"/>
  <c r="K48" i="2"/>
  <c r="K49" i="2"/>
  <c r="K50" i="2"/>
  <c r="K52" i="2"/>
  <c r="K53" i="2"/>
  <c r="K54" i="2"/>
  <c r="K55" i="2"/>
  <c r="K56" i="2"/>
  <c r="K57" i="2"/>
  <c r="K58" i="2"/>
  <c r="K59" i="2"/>
  <c r="K60" i="2"/>
  <c r="K61" i="2"/>
  <c r="K63" i="2"/>
  <c r="K64" i="2"/>
  <c r="K65" i="2"/>
  <c r="K66" i="2"/>
  <c r="K67" i="2"/>
  <c r="K68" i="2"/>
  <c r="K69" i="2"/>
  <c r="K70" i="2"/>
  <c r="K6" i="2"/>
  <c r="L6" i="2"/>
  <c r="J8" i="2"/>
  <c r="L8" i="2" s="1"/>
  <c r="I8" i="2"/>
  <c r="K8" i="2" s="1"/>
  <c r="K69" i="5" l="1"/>
  <c r="F55" i="5"/>
  <c r="F44" i="5"/>
  <c r="F53" i="5"/>
  <c r="F66" i="5"/>
  <c r="F23" i="5"/>
  <c r="K66" i="5"/>
  <c r="E53" i="5"/>
  <c r="L53" i="5" s="1"/>
  <c r="E44" i="5"/>
  <c r="L44" i="5" s="1"/>
  <c r="L26" i="5"/>
  <c r="E23" i="5"/>
  <c r="L23" i="5" s="1"/>
  <c r="K55" i="5"/>
  <c r="F51" i="4"/>
  <c r="F62" i="4"/>
  <c r="F23" i="4"/>
  <c r="F62" i="3"/>
  <c r="F23" i="3"/>
</calcChain>
</file>

<file path=xl/sharedStrings.xml><?xml version="1.0" encoding="utf-8"?>
<sst xmlns="http://schemas.openxmlformats.org/spreadsheetml/2006/main" count="1382" uniqueCount="150">
  <si>
    <t>Mesa</t>
  </si>
  <si>
    <t>Dolores Library District</t>
  </si>
  <si>
    <t>Montezuma</t>
  </si>
  <si>
    <t>Mancos Library District</t>
  </si>
  <si>
    <t>Montrose</t>
  </si>
  <si>
    <t>Montrose Library District</t>
  </si>
  <si>
    <t>East Morgan County Library District</t>
  </si>
  <si>
    <t>Morgan</t>
  </si>
  <si>
    <t>Ouray</t>
  </si>
  <si>
    <t>Ridgway Library District</t>
  </si>
  <si>
    <t>Pitkin</t>
  </si>
  <si>
    <t>Pitkin County Library District</t>
  </si>
  <si>
    <t>Prowers County Library</t>
  </si>
  <si>
    <t>Prowers</t>
  </si>
  <si>
    <t>Pueblo City-County Library District</t>
  </si>
  <si>
    <t>Pueblo</t>
  </si>
  <si>
    <t>Meeker Regional Library District</t>
  </si>
  <si>
    <t>Rio Blanco</t>
  </si>
  <si>
    <t>Rangely Regional Library</t>
  </si>
  <si>
    <t>Rio Grande County Library District</t>
  </si>
  <si>
    <t>Rio Grande</t>
  </si>
  <si>
    <t>East Routt Library District</t>
  </si>
  <si>
    <t>Routt</t>
  </si>
  <si>
    <t>South Routt County Library District</t>
  </si>
  <si>
    <t>West Routt Library District</t>
  </si>
  <si>
    <t>San Miguel</t>
  </si>
  <si>
    <t>Summit County Library</t>
  </si>
  <si>
    <t>Summit</t>
  </si>
  <si>
    <t>Rampart Regional Library District</t>
  </si>
  <si>
    <t>Teller</t>
  </si>
  <si>
    <t>S. Teller County Public Library District</t>
  </si>
  <si>
    <t>Weld</t>
  </si>
  <si>
    <t>General Fund</t>
  </si>
  <si>
    <t>(Temporary Tax Credit)*</t>
  </si>
  <si>
    <t>Jursidiction</t>
  </si>
  <si>
    <t>Poudre River Library District</t>
  </si>
  <si>
    <t>Clearview Library District</t>
  </si>
  <si>
    <t>Conejos</t>
    <phoneticPr fontId="4" type="noConversion"/>
  </si>
  <si>
    <t>Delta</t>
    <phoneticPr fontId="4" type="noConversion"/>
  </si>
  <si>
    <t>Delta County Public Library District</t>
    <phoneticPr fontId="4" type="noConversion"/>
  </si>
  <si>
    <t>Hinsdale County Reg. Library District</t>
    <phoneticPr fontId="4" type="noConversion"/>
  </si>
  <si>
    <t>Ouray Library District</t>
    <phoneticPr fontId="4" type="noConversion"/>
  </si>
  <si>
    <t>Arapahoe Library District</t>
  </si>
  <si>
    <t>Assessed Valuation</t>
  </si>
  <si>
    <t>Levy</t>
  </si>
  <si>
    <t>Revenue</t>
  </si>
  <si>
    <t>Capital/Special Abatement</t>
  </si>
  <si>
    <t>Total</t>
  </si>
  <si>
    <t>County</t>
  </si>
  <si>
    <t>Adams</t>
  </si>
  <si>
    <t>Rangeview Library District</t>
  </si>
  <si>
    <t>Arapahoe</t>
  </si>
  <si>
    <t>Upper San Juan Library District</t>
  </si>
  <si>
    <t>Archuleta</t>
  </si>
  <si>
    <t>Las Animas-Bent County Library District</t>
  </si>
  <si>
    <t>Bent</t>
  </si>
  <si>
    <t>High Plains Library District</t>
  </si>
  <si>
    <t>Boulder</t>
  </si>
  <si>
    <t>Nederland Community Library District</t>
  </si>
  <si>
    <t>Northern Chaffee County Library District</t>
  </si>
  <si>
    <t>Chaffee</t>
  </si>
  <si>
    <t>S. Chaffee County Reg. Library District</t>
  </si>
  <si>
    <t>Bond Redemption/Contractual Obligation</t>
  </si>
  <si>
    <t>East Cheyenne County Library District</t>
  </si>
  <si>
    <t>Cheyenne</t>
  </si>
  <si>
    <t>Clear Creek County Library District</t>
  </si>
  <si>
    <t>Conejos Library District</t>
  </si>
  <si>
    <t>Costilla County Library</t>
  </si>
  <si>
    <t>Costilla</t>
  </si>
  <si>
    <t>West Custer County Library District</t>
  </si>
  <si>
    <t>Custer</t>
  </si>
  <si>
    <t>Delta County Public Library District</t>
  </si>
  <si>
    <t>Dolores County Library</t>
  </si>
  <si>
    <t>Dolores</t>
  </si>
  <si>
    <t>Douglas County Public Library District</t>
  </si>
  <si>
    <t>Douglas</t>
  </si>
  <si>
    <t>Basalt Regional Library District</t>
  </si>
  <si>
    <t>Eagle</t>
  </si>
  <si>
    <t>Eagle Valley Library District</t>
  </si>
  <si>
    <t>Elbert County Library District</t>
  </si>
  <si>
    <t>Elbert</t>
  </si>
  <si>
    <t>Pikes Peak Library District</t>
  </si>
  <si>
    <t>El Paso</t>
  </si>
  <si>
    <t>John C. Fremont Library District</t>
  </si>
  <si>
    <t>Fremont</t>
  </si>
  <si>
    <t>Penrose Community Library District</t>
  </si>
  <si>
    <t>Garfield County Public Library District</t>
  </si>
  <si>
    <t>Garfield</t>
  </si>
  <si>
    <t>Gilpin County Library</t>
  </si>
  <si>
    <t>Gilpin</t>
  </si>
  <si>
    <t>Grand County Library District</t>
  </si>
  <si>
    <t>Grand</t>
  </si>
  <si>
    <t>Gunnison County Library</t>
  </si>
  <si>
    <t>Gunnison</t>
  </si>
  <si>
    <t>Hinsdale</t>
  </si>
  <si>
    <t>La Veta Public Library District</t>
  </si>
  <si>
    <t>Huerfano</t>
  </si>
  <si>
    <t>Spanish Peaks Library District</t>
  </si>
  <si>
    <t>Jackson</t>
  </si>
  <si>
    <t>Jefferson County Library</t>
  </si>
  <si>
    <t>Jefferson</t>
  </si>
  <si>
    <t>Kiowa County Public Library District</t>
  </si>
  <si>
    <t>Kiowa</t>
  </si>
  <si>
    <t>Ignacio Community Library District</t>
  </si>
  <si>
    <t>La Plata</t>
  </si>
  <si>
    <t>Pine River Public Library District</t>
  </si>
  <si>
    <t>Berthoud Community Library District</t>
  </si>
  <si>
    <t>Larimer</t>
  </si>
  <si>
    <t>Estes Valley Public Library District</t>
  </si>
  <si>
    <t>Red Feather Mountain Library District</t>
  </si>
  <si>
    <t>Mesa County Public Library District</t>
  </si>
  <si>
    <t>Clear Creek</t>
  </si>
  <si>
    <t>Jackson County Library</t>
  </si>
  <si>
    <t>San Miguel County Library District #2 (Lone Cone Library District dba Norwood Public Library)</t>
  </si>
  <si>
    <t>San Miguel County Public Library District #1 (Telluride)</t>
  </si>
  <si>
    <r>
      <t xml:space="preserve">Source: "Certification of Levies and Revenues - As of January 1, 2017" in </t>
    </r>
    <r>
      <rPr>
        <i/>
        <sz val="11"/>
        <color theme="1"/>
        <rFont val="Calibri"/>
        <family val="2"/>
        <scheme val="minor"/>
      </rPr>
      <t xml:space="preserve">Colorado Division of Property Taxation: 2016 Annual Report </t>
    </r>
    <r>
      <rPr>
        <sz val="11"/>
        <color theme="1"/>
        <rFont val="Calibri"/>
        <family val="2"/>
        <scheme val="minor"/>
      </rPr>
      <t xml:space="preserve">(https://www.colorado.gov/pacific/dola/annual-reports) </t>
    </r>
  </si>
  <si>
    <t>2016 Colorado Public Library Mill Levies (As of January 1, 2017)</t>
  </si>
  <si>
    <t>2017 Colorado Public Library Mill Levies (As of January 1, 2018)</t>
  </si>
  <si>
    <t xml:space="preserve">Lyons Regional Library District </t>
  </si>
  <si>
    <t xml:space="preserve">Larimer </t>
  </si>
  <si>
    <t>Douglas Public Library District</t>
  </si>
  <si>
    <t>Check column</t>
  </si>
  <si>
    <t>Ouray Library District</t>
  </si>
  <si>
    <t>2018 Colorado Public Library Mill Levies (As of January 1, 2019)</t>
  </si>
  <si>
    <t>unavailable</t>
  </si>
  <si>
    <t>Hinsdale County Regional Library District</t>
  </si>
  <si>
    <t>2019 Colorado Public Library Mill Levies (As of January 1, 2020)</t>
  </si>
  <si>
    <t>Southern Chaffee County Regional Library District</t>
  </si>
  <si>
    <t>2020 Colorado Public Library Mill Levies (As of January 1, 2021)</t>
  </si>
  <si>
    <t xml:space="preserve">Southwest La Plata Library District </t>
  </si>
  <si>
    <t xml:space="preserve">La Plata </t>
  </si>
  <si>
    <t xml:space="preserve">Lincoln County Library (Limon/Lincoln County Bookmobile) </t>
  </si>
  <si>
    <t xml:space="preserve">Lincoln </t>
  </si>
  <si>
    <t>Northern Saguache County Library District</t>
  </si>
  <si>
    <t>Saguache</t>
  </si>
  <si>
    <t xml:space="preserve">Boulder </t>
  </si>
  <si>
    <t>Nederland Community Library District - Bond (2022 addition)</t>
  </si>
  <si>
    <t>Conejos</t>
  </si>
  <si>
    <t>Delta</t>
  </si>
  <si>
    <t xml:space="preserve">Source: "Certification of Levies and Revenues" in State of Colorado 2019 Forty-Ninth Annual Report to the Governor and General Assembly (https://www.colorado.gov/pacific/dola/annual-reports) </t>
  </si>
  <si>
    <r>
      <t xml:space="preserve">Source: "Certification of Levies and Revenues=" in </t>
    </r>
    <r>
      <rPr>
        <i/>
        <sz val="11"/>
        <color theme="1"/>
        <rFont val="Calibri"/>
        <family val="2"/>
        <scheme val="minor"/>
      </rPr>
      <t xml:space="preserve">2021 Fifty-First Annual Report to the Governor and the General Assembly </t>
    </r>
    <r>
      <rPr>
        <sz val="11"/>
        <color theme="1"/>
        <rFont val="Calibri"/>
        <family val="2"/>
        <scheme val="minor"/>
      </rPr>
      <t>(https://cdola.colorado.gov/publications/annual-reports), report as of May 26, 2022</t>
    </r>
  </si>
  <si>
    <t>2021 Colorado Public Library Mill Levies (As of May 26, 2022)</t>
  </si>
  <si>
    <t>2022 Colorado Public Library Mill Levies (As of January 1, 2023)</t>
  </si>
  <si>
    <t>2023 Colorado Public Library Mill Levies (As of January 1, 2024)</t>
  </si>
  <si>
    <r>
      <t xml:space="preserve">Prowers County Library </t>
    </r>
    <r>
      <rPr>
        <sz val="11"/>
        <color theme="1"/>
        <rFont val="Calibri"/>
        <family val="2"/>
        <scheme val="minor"/>
      </rPr>
      <t>(Now Lamar city)</t>
    </r>
  </si>
  <si>
    <t>2024 Colorado Public Library Mill Levies (As of January 1, 2025)</t>
  </si>
  <si>
    <r>
      <t xml:space="preserve">Source: "Certification of Levies and Revenues=" in </t>
    </r>
    <r>
      <rPr>
        <i/>
        <sz val="11"/>
        <color theme="1"/>
        <rFont val="Calibri"/>
        <family val="2"/>
        <scheme val="minor"/>
      </rPr>
      <t xml:space="preserve">2024 Fifty-Fourth Annual Report to the Governor and the General Assembly </t>
    </r>
    <r>
      <rPr>
        <sz val="11"/>
        <color theme="1"/>
        <rFont val="Calibri"/>
        <family val="2"/>
        <scheme val="minor"/>
      </rPr>
      <t>(https://cdola.colorado.gov/publications/annual-reports), report as of May 9, 2025</t>
    </r>
  </si>
  <si>
    <r>
      <t xml:space="preserve">Source: "Certification of Levies and Revenues=" in </t>
    </r>
    <r>
      <rPr>
        <i/>
        <sz val="11"/>
        <color theme="1"/>
        <rFont val="Calibri"/>
        <family val="2"/>
        <scheme val="minor"/>
      </rPr>
      <t xml:space="preserve">2023 Fifty-Third Annual Report to the Governor and the General Assembly </t>
    </r>
    <r>
      <rPr>
        <sz val="11"/>
        <color theme="1"/>
        <rFont val="Calibri"/>
        <family val="2"/>
        <scheme val="minor"/>
      </rPr>
      <t>(https://cdola.colorado.gov/publications/annual-reports), report as of May 26, 2024</t>
    </r>
  </si>
  <si>
    <r>
      <t xml:space="preserve">Source: "Certification of Levies and Revenues=" in </t>
    </r>
    <r>
      <rPr>
        <i/>
        <sz val="11"/>
        <color theme="1"/>
        <rFont val="Calibri"/>
        <family val="2"/>
        <scheme val="minor"/>
      </rPr>
      <t xml:space="preserve">2022 Fifty-Second Annual Report to the Governor and the General Assembly </t>
    </r>
    <r>
      <rPr>
        <sz val="11"/>
        <color theme="1"/>
        <rFont val="Calibri"/>
        <family val="2"/>
        <scheme val="minor"/>
      </rPr>
      <t>(https://cdola.colorado.gov/publications/annual-reports), report as of May 26, 2023</t>
    </r>
  </si>
  <si>
    <t>San Miguel County Library District #2 (Lone Cone Library District fka Norwood Public Library)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</si>
</sst>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0.000"/>
    <numFmt numFmtId="165" formatCode="&quot;$&quot;#,##0"/>
    <numFmt numFmtId="166" formatCode="#,##0.000"/>
    <numFmt numFmtId="167" formatCode="0.0000000"/>
    <numFmt numFmtId="168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Verdana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C00000"/>
      <name val="Calibri"/>
      <family val="2"/>
      <scheme val="minor"/>
    </font>
    <font>
      <strike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1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4" fontId="1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44" fontId="1" fillId="0" borderId="0" xfId="1" applyFont="1"/>
    <xf numFmtId="44" fontId="1" fillId="0" borderId="0" xfId="1" applyFont="1" applyFill="1"/>
    <xf numFmtId="1" fontId="2" fillId="0" borderId="0" xfId="1" applyNumberFormat="1" applyFont="1" applyAlignment="1">
      <alignment horizontal="center"/>
    </xf>
    <xf numFmtId="1" fontId="1" fillId="0" borderId="0" xfId="1" applyNumberFormat="1" applyFont="1"/>
    <xf numFmtId="1" fontId="1" fillId="0" borderId="0" xfId="1" applyNumberFormat="1" applyFont="1" applyFill="1"/>
    <xf numFmtId="164" fontId="0" fillId="0" borderId="0" xfId="0" applyNumberFormat="1" applyAlignment="1">
      <alignment horizontal="right"/>
    </xf>
    <xf numFmtId="44" fontId="1" fillId="0" borderId="0" xfId="1" applyFont="1" applyFill="1" applyAlignment="1">
      <alignment horizontal="right"/>
    </xf>
    <xf numFmtId="0" fontId="2" fillId="0" borderId="0" xfId="0" applyFont="1"/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0" fillId="0" borderId="0" xfId="0" applyNumberFormat="1"/>
    <xf numFmtId="0" fontId="5" fillId="0" borderId="0" xfId="2" applyAlignment="1">
      <alignment horizontal="left" vertical="center" indent="1"/>
    </xf>
    <xf numFmtId="0" fontId="5" fillId="0" borderId="0" xfId="2" applyFill="1"/>
    <xf numFmtId="0" fontId="0" fillId="3" borderId="0" xfId="0" applyFill="1"/>
    <xf numFmtId="165" fontId="0" fillId="3" borderId="0" xfId="0" applyNumberFormat="1" applyFill="1"/>
    <xf numFmtId="166" fontId="0" fillId="3" borderId="0" xfId="0" applyNumberFormat="1" applyFill="1"/>
    <xf numFmtId="6" fontId="0" fillId="3" borderId="0" xfId="0" applyNumberFormat="1" applyFill="1"/>
    <xf numFmtId="167" fontId="1" fillId="0" borderId="0" xfId="1" applyNumberFormat="1" applyFont="1"/>
    <xf numFmtId="167" fontId="0" fillId="0" borderId="0" xfId="0" applyNumberFormat="1"/>
    <xf numFmtId="167" fontId="2" fillId="0" borderId="0" xfId="0" applyNumberFormat="1" applyFont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1" fillId="0" borderId="0" xfId="1" applyNumberFormat="1" applyFont="1" applyFill="1" applyAlignment="1">
      <alignment horizontal="right"/>
    </xf>
    <xf numFmtId="167" fontId="5" fillId="0" borderId="0" xfId="2" applyNumberFormat="1" applyAlignment="1">
      <alignment horizontal="left" vertical="center" indent="1"/>
    </xf>
    <xf numFmtId="168" fontId="0" fillId="3" borderId="0" xfId="0" applyNumberFormat="1" applyFill="1"/>
    <xf numFmtId="0" fontId="0" fillId="4" borderId="0" xfId="0" applyFill="1"/>
    <xf numFmtId="165" fontId="0" fillId="4" borderId="0" xfId="0" applyNumberFormat="1" applyFill="1"/>
    <xf numFmtId="167" fontId="0" fillId="3" borderId="0" xfId="0" applyNumberFormat="1" applyFill="1"/>
    <xf numFmtId="164" fontId="0" fillId="4" borderId="0" xfId="0" applyNumberFormat="1" applyFill="1"/>
    <xf numFmtId="44" fontId="1" fillId="4" borderId="0" xfId="1" applyFont="1" applyFill="1"/>
    <xf numFmtId="167" fontId="1" fillId="4" borderId="0" xfId="1" applyNumberFormat="1" applyFont="1" applyFill="1"/>
    <xf numFmtId="1" fontId="1" fillId="4" borderId="0" xfId="1" applyNumberFormat="1" applyFont="1" applyFill="1"/>
    <xf numFmtId="167" fontId="0" fillId="4" borderId="0" xfId="0" applyNumberFormat="1" applyFill="1"/>
    <xf numFmtId="0" fontId="2" fillId="4" borderId="0" xfId="0" applyFont="1" applyFill="1"/>
    <xf numFmtId="44" fontId="1" fillId="4" borderId="0" xfId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7" fontId="2" fillId="4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44" fontId="2" fillId="4" borderId="0" xfId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7" fontId="2" fillId="4" borderId="0" xfId="1" applyNumberFormat="1" applyFont="1" applyFill="1" applyAlignment="1">
      <alignment horizontal="center"/>
    </xf>
    <xf numFmtId="1" fontId="2" fillId="4" borderId="0" xfId="1" applyNumberFormat="1" applyFont="1" applyFill="1" applyAlignment="1">
      <alignment horizontal="center"/>
    </xf>
    <xf numFmtId="0" fontId="0" fillId="4" borderId="1" xfId="0" applyFill="1" applyBorder="1"/>
    <xf numFmtId="165" fontId="0" fillId="4" borderId="1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7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0" fillId="4" borderId="0" xfId="0" applyNumberFormat="1" applyFill="1" applyAlignment="1">
      <alignment horizontal="right"/>
    </xf>
    <xf numFmtId="44" fontId="1" fillId="4" borderId="0" xfId="1" applyFont="1" applyFill="1" applyAlignment="1">
      <alignment horizontal="right"/>
    </xf>
    <xf numFmtId="167" fontId="1" fillId="4" borderId="0" xfId="1" applyNumberFormat="1" applyFont="1" applyFill="1" applyAlignment="1">
      <alignment horizontal="right"/>
    </xf>
    <xf numFmtId="0" fontId="5" fillId="4" borderId="0" xfId="2" applyFill="1" applyAlignment="1">
      <alignment horizontal="left" vertical="center" indent="1"/>
    </xf>
    <xf numFmtId="167" fontId="5" fillId="4" borderId="0" xfId="2" applyNumberFormat="1" applyFill="1" applyAlignment="1">
      <alignment horizontal="left" vertical="center" indent="1"/>
    </xf>
    <xf numFmtId="0" fontId="5" fillId="4" borderId="0" xfId="2" applyFill="1"/>
    <xf numFmtId="0" fontId="7" fillId="5" borderId="0" xfId="0" applyFont="1" applyFill="1"/>
    <xf numFmtId="165" fontId="7" fillId="5" borderId="0" xfId="0" applyNumberFormat="1" applyFont="1" applyFill="1"/>
    <xf numFmtId="166" fontId="7" fillId="5" borderId="0" xfId="0" applyNumberFormat="1" applyFont="1" applyFill="1"/>
    <xf numFmtId="165" fontId="1" fillId="4" borderId="0" xfId="1" applyNumberFormat="1" applyFont="1" applyFill="1"/>
    <xf numFmtId="165" fontId="2" fillId="4" borderId="0" xfId="1" applyNumberFormat="1" applyFont="1" applyFill="1" applyAlignment="1">
      <alignment horizontal="center"/>
    </xf>
    <xf numFmtId="165" fontId="1" fillId="4" borderId="0" xfId="1" applyNumberFormat="1" applyFont="1" applyFill="1" applyAlignment="1">
      <alignment horizontal="right"/>
    </xf>
    <xf numFmtId="165" fontId="5" fillId="4" borderId="0" xfId="2" applyNumberFormat="1" applyFill="1" applyAlignment="1">
      <alignment horizontal="left" vertical="center" indent="1"/>
    </xf>
    <xf numFmtId="165" fontId="8" fillId="5" borderId="0" xfId="0" applyNumberFormat="1" applyFont="1" applyFill="1"/>
    <xf numFmtId="168" fontId="0" fillId="0" borderId="0" xfId="0" applyNumberFormat="1"/>
    <xf numFmtId="44" fontId="1" fillId="0" borderId="0" xfId="1" applyFont="1" applyFill="1" applyAlignment="1">
      <alignment horizontal="center"/>
    </xf>
    <xf numFmtId="44" fontId="2" fillId="0" borderId="0" xfId="1" applyFont="1" applyFill="1" applyAlignment="1">
      <alignment horizontal="center"/>
    </xf>
    <xf numFmtId="1" fontId="2" fillId="0" borderId="0" xfId="1" applyNumberFormat="1" applyFont="1" applyFill="1" applyAlignment="1">
      <alignment horizontal="center"/>
    </xf>
    <xf numFmtId="0" fontId="7" fillId="0" borderId="0" xfId="0" applyFont="1"/>
    <xf numFmtId="165" fontId="8" fillId="0" borderId="0" xfId="0" applyNumberFormat="1" applyFont="1"/>
    <xf numFmtId="166" fontId="8" fillId="0" borderId="0" xfId="0" applyNumberFormat="1" applyFont="1"/>
    <xf numFmtId="0" fontId="8" fillId="0" borderId="0" xfId="0" applyFont="1"/>
    <xf numFmtId="0" fontId="5" fillId="0" borderId="0" xfId="2" applyFill="1" applyAlignment="1">
      <alignment horizontal="left" vertical="center" indent="1"/>
    </xf>
    <xf numFmtId="6" fontId="8" fillId="0" borderId="0" xfId="0" applyNumberFormat="1" applyFont="1"/>
    <xf numFmtId="0" fontId="9" fillId="0" borderId="0" xfId="0" applyFont="1"/>
    <xf numFmtId="165" fontId="10" fillId="0" borderId="0" xfId="0" applyNumberFormat="1" applyFont="1"/>
    <xf numFmtId="166" fontId="10" fillId="0" borderId="0" xfId="0" applyNumberFormat="1" applyFont="1"/>
    <xf numFmtId="165" fontId="11" fillId="0" borderId="0" xfId="0" applyNumberFormat="1" applyFont="1"/>
    <xf numFmtId="166" fontId="11" fillId="0" borderId="0" xfId="0" applyNumberFormat="1" applyFont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4" borderId="0" xfId="0" applyNumberFormat="1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Fill="1"/>
  </cellXfs>
  <cellStyles count="3">
    <cellStyle name="Currency" xfId="1" builtinId="4"/>
    <cellStyle name="Hyperlink" xfId="2" builtinId="8"/>
    <cellStyle name="Normal" xfId="0" builtinId="0"/>
  </cellStyles>
  <dxfs count="5"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9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zoomScale="94" zoomScaleNormal="94" workbookViewId="0">
      <selection activeCell="A14" sqref="A14"/>
    </sheetView>
  </sheetViews>
  <sheetFormatPr defaultColWidth="8.7109375" defaultRowHeight="15" x14ac:dyDescent="0.25"/>
  <cols>
    <col min="1" max="1" width="66.28515625" customWidth="1"/>
    <col min="2" max="2" width="12.42578125" customWidth="1"/>
    <col min="3" max="3" width="26.28515625" style="7" customWidth="1"/>
    <col min="4" max="4" width="14.28515625" style="1" customWidth="1"/>
    <col min="5" max="5" width="19.42578125" style="7" customWidth="1"/>
    <col min="6" max="6" width="25.7109375" style="1" customWidth="1"/>
    <col min="7" max="7" width="24.28515625" style="7" customWidth="1"/>
    <col min="8" max="8" width="12.28515625" style="1" customWidth="1"/>
    <col min="9" max="9" width="20.42578125" style="7" customWidth="1"/>
    <col min="10" max="10" width="13" style="1" customWidth="1"/>
    <col min="11" max="11" width="15.28515625" style="10" bestFit="1" customWidth="1"/>
  </cols>
  <sheetData>
    <row r="1" spans="1:11" ht="16.5" thickBot="1" x14ac:dyDescent="0.3">
      <c r="A1" s="85" t="s">
        <v>116</v>
      </c>
      <c r="B1" s="86"/>
      <c r="C1" s="87"/>
    </row>
    <row r="2" spans="1:11" x14ac:dyDescent="0.25">
      <c r="C2"/>
      <c r="D2"/>
      <c r="E2"/>
      <c r="F2"/>
      <c r="G2"/>
      <c r="H2"/>
      <c r="I2"/>
      <c r="J2"/>
      <c r="K2"/>
    </row>
    <row r="3" spans="1:11" x14ac:dyDescent="0.25">
      <c r="A3" s="14"/>
      <c r="C3" s="5"/>
      <c r="D3" s="90" t="s">
        <v>32</v>
      </c>
      <c r="E3" s="90"/>
      <c r="F3" s="90" t="s">
        <v>62</v>
      </c>
      <c r="G3" s="90"/>
      <c r="H3" s="90" t="s">
        <v>46</v>
      </c>
      <c r="I3" s="90"/>
      <c r="J3" s="88" t="s">
        <v>47</v>
      </c>
      <c r="K3" s="88"/>
    </row>
    <row r="4" spans="1:11" x14ac:dyDescent="0.25">
      <c r="A4" s="4" t="s">
        <v>34</v>
      </c>
      <c r="B4" s="4" t="s">
        <v>48</v>
      </c>
      <c r="C4" s="6" t="s">
        <v>43</v>
      </c>
      <c r="D4" s="3" t="s">
        <v>44</v>
      </c>
      <c r="E4" s="6" t="s">
        <v>45</v>
      </c>
      <c r="F4" s="3" t="s">
        <v>44</v>
      </c>
      <c r="G4" s="6" t="s">
        <v>45</v>
      </c>
      <c r="H4" s="3" t="s">
        <v>44</v>
      </c>
      <c r="I4" s="6" t="s">
        <v>45</v>
      </c>
      <c r="J4" s="3" t="s">
        <v>44</v>
      </c>
      <c r="K4" s="9" t="s">
        <v>45</v>
      </c>
    </row>
    <row r="5" spans="1:11" ht="15.75" thickBot="1" x14ac:dyDescent="0.3">
      <c r="A5" s="15"/>
      <c r="B5" s="15"/>
      <c r="C5" s="16"/>
      <c r="D5" s="89" t="s">
        <v>33</v>
      </c>
      <c r="E5" s="89"/>
      <c r="F5" s="17"/>
      <c r="G5" s="17"/>
      <c r="H5" s="17"/>
      <c r="I5" s="17"/>
      <c r="J5" s="18"/>
      <c r="K5" s="17"/>
    </row>
    <row r="6" spans="1:11" s="22" customFormat="1" x14ac:dyDescent="0.25">
      <c r="A6" s="22" t="s">
        <v>42</v>
      </c>
      <c r="B6" s="22" t="s">
        <v>49</v>
      </c>
      <c r="C6" s="23">
        <v>4377160</v>
      </c>
      <c r="D6" s="24">
        <v>5.9260000000000002</v>
      </c>
      <c r="E6" s="23">
        <v>25939</v>
      </c>
      <c r="F6" s="24">
        <v>0</v>
      </c>
      <c r="G6" s="23">
        <v>0</v>
      </c>
      <c r="H6" s="24">
        <v>0</v>
      </c>
      <c r="I6" s="23">
        <v>0</v>
      </c>
      <c r="J6" s="24">
        <v>5.9260000000000002</v>
      </c>
      <c r="K6" s="23">
        <v>25939</v>
      </c>
    </row>
    <row r="7" spans="1:11" s="22" customFormat="1" x14ac:dyDescent="0.25">
      <c r="A7" s="22" t="s">
        <v>42</v>
      </c>
      <c r="B7" s="22" t="s">
        <v>51</v>
      </c>
      <c r="C7" s="23">
        <v>5132539999</v>
      </c>
      <c r="D7" s="24">
        <v>5.875</v>
      </c>
      <c r="E7" s="23">
        <v>30153672</v>
      </c>
      <c r="F7" s="24">
        <v>0</v>
      </c>
      <c r="G7" s="23">
        <v>0</v>
      </c>
      <c r="H7" s="24">
        <v>0</v>
      </c>
      <c r="I7" s="23">
        <v>0</v>
      </c>
      <c r="J7" s="24">
        <v>5.9260000000000002</v>
      </c>
      <c r="K7" s="23">
        <v>30415432</v>
      </c>
    </row>
    <row r="8" spans="1:11" s="22" customFormat="1" x14ac:dyDescent="0.25">
      <c r="A8" s="22" t="s">
        <v>76</v>
      </c>
      <c r="B8" s="22" t="s">
        <v>77</v>
      </c>
      <c r="C8" s="23">
        <v>207485730</v>
      </c>
      <c r="D8" s="24">
        <v>2.61</v>
      </c>
      <c r="E8" s="23">
        <v>541538</v>
      </c>
      <c r="F8" s="24">
        <v>2.39</v>
      </c>
      <c r="G8" s="23">
        <v>495891</v>
      </c>
      <c r="H8" s="24">
        <v>0.90400000000000003</v>
      </c>
      <c r="I8" s="23">
        <v>187567</v>
      </c>
      <c r="J8" s="24">
        <v>5.9379999999999997</v>
      </c>
      <c r="K8" s="23">
        <v>1232050</v>
      </c>
    </row>
    <row r="9" spans="1:11" s="22" customFormat="1" x14ac:dyDescent="0.25">
      <c r="A9" s="22" t="s">
        <v>76</v>
      </c>
      <c r="B9" s="22" t="s">
        <v>10</v>
      </c>
      <c r="C9" s="23">
        <v>179432970</v>
      </c>
      <c r="D9" s="24">
        <v>2.61</v>
      </c>
      <c r="E9" s="23">
        <v>468320</v>
      </c>
      <c r="F9" s="24">
        <v>0.93</v>
      </c>
      <c r="G9" s="23">
        <v>166873</v>
      </c>
      <c r="H9" s="24">
        <v>0.90400000000000003</v>
      </c>
      <c r="I9" s="23">
        <v>162207</v>
      </c>
      <c r="J9" s="24">
        <v>5.9379999999999997</v>
      </c>
      <c r="K9" s="23">
        <v>1065473</v>
      </c>
    </row>
    <row r="10" spans="1:11" s="22" customFormat="1" x14ac:dyDescent="0.25">
      <c r="A10" s="22" t="s">
        <v>106</v>
      </c>
      <c r="B10" s="22" t="s">
        <v>107</v>
      </c>
      <c r="C10" s="23">
        <v>143332934</v>
      </c>
      <c r="D10" s="24">
        <v>2.4</v>
      </c>
      <c r="E10" s="23">
        <v>343999</v>
      </c>
      <c r="F10" s="24">
        <v>0</v>
      </c>
      <c r="G10" s="23">
        <v>0</v>
      </c>
      <c r="H10" s="24">
        <v>0</v>
      </c>
      <c r="I10" s="23">
        <v>0</v>
      </c>
      <c r="J10" s="24">
        <v>2.4</v>
      </c>
      <c r="K10" s="23">
        <v>343999</v>
      </c>
    </row>
    <row r="11" spans="1:11" s="22" customFormat="1" x14ac:dyDescent="0.25">
      <c r="A11" s="22" t="s">
        <v>65</v>
      </c>
      <c r="B11" s="22" t="s">
        <v>111</v>
      </c>
      <c r="C11" s="23">
        <v>519184740</v>
      </c>
      <c r="D11" s="24">
        <v>2</v>
      </c>
      <c r="E11" s="23">
        <v>1038369</v>
      </c>
      <c r="F11" s="24">
        <v>0</v>
      </c>
      <c r="G11" s="23">
        <v>0</v>
      </c>
      <c r="H11" s="24">
        <v>0</v>
      </c>
      <c r="I11" s="23">
        <v>0</v>
      </c>
      <c r="J11" s="24">
        <v>2</v>
      </c>
      <c r="K11" s="23">
        <v>1038369</v>
      </c>
    </row>
    <row r="12" spans="1:11" s="22" customFormat="1" x14ac:dyDescent="0.25">
      <c r="A12" s="22" t="s">
        <v>36</v>
      </c>
      <c r="B12" s="22" t="s">
        <v>31</v>
      </c>
      <c r="C12" s="23">
        <v>680214980</v>
      </c>
      <c r="D12" s="24">
        <v>3.5459999999999998</v>
      </c>
      <c r="E12" s="23">
        <v>2412042</v>
      </c>
      <c r="F12" s="24">
        <v>0</v>
      </c>
      <c r="G12" s="23">
        <v>0</v>
      </c>
      <c r="H12" s="24">
        <v>0</v>
      </c>
      <c r="I12" s="23">
        <v>0</v>
      </c>
      <c r="J12" s="24">
        <v>3.59</v>
      </c>
      <c r="K12" s="23">
        <v>2441972</v>
      </c>
    </row>
    <row r="13" spans="1:11" s="22" customFormat="1" x14ac:dyDescent="0.25">
      <c r="A13" s="22" t="s">
        <v>66</v>
      </c>
      <c r="B13" s="22" t="s">
        <v>37</v>
      </c>
      <c r="C13" s="23">
        <v>69158788</v>
      </c>
      <c r="D13" s="24">
        <v>2</v>
      </c>
      <c r="E13" s="23">
        <v>138318</v>
      </c>
      <c r="F13" s="24">
        <v>0</v>
      </c>
      <c r="G13" s="23">
        <v>0</v>
      </c>
      <c r="H13" s="24">
        <v>0</v>
      </c>
      <c r="I13" s="23">
        <v>0</v>
      </c>
      <c r="J13" s="24">
        <v>2.0179999999999998</v>
      </c>
      <c r="K13" s="23">
        <v>139562</v>
      </c>
    </row>
    <row r="14" spans="1:11" s="22" customFormat="1" x14ac:dyDescent="0.25">
      <c r="A14" s="22" t="s">
        <v>67</v>
      </c>
      <c r="B14" s="22" t="s">
        <v>68</v>
      </c>
      <c r="C14" s="23">
        <v>116272294</v>
      </c>
      <c r="D14" s="24">
        <v>0.5</v>
      </c>
      <c r="E14" s="23">
        <v>58136</v>
      </c>
      <c r="F14" s="24">
        <v>0</v>
      </c>
      <c r="G14" s="23">
        <v>0</v>
      </c>
      <c r="H14" s="24">
        <v>0</v>
      </c>
      <c r="I14" s="23">
        <v>0</v>
      </c>
      <c r="J14" s="24">
        <v>0.5</v>
      </c>
      <c r="K14" s="23">
        <v>58136</v>
      </c>
    </row>
    <row r="15" spans="1:11" s="22" customFormat="1" x14ac:dyDescent="0.25">
      <c r="A15" s="22" t="s">
        <v>39</v>
      </c>
      <c r="B15" s="22" t="s">
        <v>38</v>
      </c>
      <c r="C15" s="23">
        <v>312185665</v>
      </c>
      <c r="D15" s="24">
        <v>3</v>
      </c>
      <c r="E15" s="23">
        <v>936557</v>
      </c>
      <c r="F15" s="24">
        <v>0</v>
      </c>
      <c r="G15" s="23">
        <v>0</v>
      </c>
      <c r="H15" s="24">
        <v>0</v>
      </c>
      <c r="I15" s="23">
        <v>0</v>
      </c>
      <c r="J15" s="24">
        <v>3</v>
      </c>
      <c r="K15" s="23">
        <v>936557</v>
      </c>
    </row>
    <row r="16" spans="1:11" s="22" customFormat="1" x14ac:dyDescent="0.25">
      <c r="A16" s="22" t="s">
        <v>71</v>
      </c>
      <c r="B16" s="22" t="s">
        <v>4</v>
      </c>
      <c r="C16" s="23">
        <v>4046150</v>
      </c>
      <c r="D16" s="24">
        <v>3</v>
      </c>
      <c r="E16" s="23">
        <v>12138</v>
      </c>
      <c r="F16" s="24">
        <v>0</v>
      </c>
      <c r="G16" s="23">
        <v>0</v>
      </c>
      <c r="H16" s="24">
        <v>0</v>
      </c>
      <c r="I16" s="23">
        <v>0</v>
      </c>
      <c r="J16" s="24">
        <v>3</v>
      </c>
      <c r="K16" s="23">
        <v>12138</v>
      </c>
    </row>
    <row r="17" spans="1:11" s="22" customFormat="1" x14ac:dyDescent="0.25">
      <c r="A17" s="22" t="s">
        <v>72</v>
      </c>
      <c r="B17" s="22" t="s">
        <v>73</v>
      </c>
      <c r="C17" s="23">
        <v>145999487</v>
      </c>
      <c r="D17" s="24">
        <v>1</v>
      </c>
      <c r="E17" s="23">
        <v>145999</v>
      </c>
      <c r="F17" s="24">
        <v>0</v>
      </c>
      <c r="G17" s="23">
        <v>0</v>
      </c>
      <c r="H17" s="24">
        <v>0</v>
      </c>
      <c r="I17" s="23">
        <v>0</v>
      </c>
      <c r="J17" s="24">
        <v>1</v>
      </c>
      <c r="K17" s="23">
        <v>145999</v>
      </c>
    </row>
    <row r="18" spans="1:11" s="22" customFormat="1" x14ac:dyDescent="0.25">
      <c r="A18" s="22" t="s">
        <v>1</v>
      </c>
      <c r="B18" s="22" t="s">
        <v>2</v>
      </c>
      <c r="C18" s="23">
        <v>57542170</v>
      </c>
      <c r="D18" s="24">
        <v>4.1559999999999997</v>
      </c>
      <c r="E18" s="23">
        <v>239145</v>
      </c>
      <c r="F18" s="24">
        <v>0</v>
      </c>
      <c r="G18" s="23">
        <v>0</v>
      </c>
      <c r="H18" s="24">
        <v>0</v>
      </c>
      <c r="I18" s="23">
        <v>0</v>
      </c>
      <c r="J18" s="24">
        <v>4.1609999999999996</v>
      </c>
      <c r="K18" s="23">
        <v>239433</v>
      </c>
    </row>
    <row r="19" spans="1:11" s="22" customFormat="1" x14ac:dyDescent="0.25">
      <c r="A19" s="22" t="s">
        <v>74</v>
      </c>
      <c r="B19" s="22" t="s">
        <v>75</v>
      </c>
      <c r="C19" s="23">
        <v>5695999230</v>
      </c>
      <c r="D19" s="24">
        <v>4</v>
      </c>
      <c r="E19" s="23">
        <v>22783997</v>
      </c>
      <c r="F19" s="24">
        <v>0</v>
      </c>
      <c r="G19" s="23">
        <v>0</v>
      </c>
      <c r="H19" s="24">
        <v>0</v>
      </c>
      <c r="I19" s="23">
        <v>0</v>
      </c>
      <c r="J19" s="24">
        <v>4.016</v>
      </c>
      <c r="K19" s="23">
        <v>22875133</v>
      </c>
    </row>
    <row r="20" spans="1:11" s="22" customFormat="1" x14ac:dyDescent="0.25">
      <c r="A20" s="22" t="s">
        <v>78</v>
      </c>
      <c r="B20" s="22" t="s">
        <v>77</v>
      </c>
      <c r="C20" s="23">
        <v>1752629680</v>
      </c>
      <c r="D20" s="24">
        <v>2.75</v>
      </c>
      <c r="E20" s="23">
        <v>4819732</v>
      </c>
      <c r="F20" s="24">
        <v>0</v>
      </c>
      <c r="G20" s="23">
        <v>0</v>
      </c>
      <c r="H20" s="24">
        <v>0</v>
      </c>
      <c r="I20" s="23">
        <v>0</v>
      </c>
      <c r="J20" s="24">
        <v>2.75</v>
      </c>
      <c r="K20" s="23">
        <v>4819732</v>
      </c>
    </row>
    <row r="21" spans="1:11" s="22" customFormat="1" x14ac:dyDescent="0.25">
      <c r="A21" s="22" t="s">
        <v>63</v>
      </c>
      <c r="B21" s="22" t="s">
        <v>64</v>
      </c>
      <c r="C21" s="23">
        <v>78657921</v>
      </c>
      <c r="D21" s="24">
        <v>1</v>
      </c>
      <c r="E21" s="23">
        <v>78658</v>
      </c>
      <c r="F21" s="24">
        <v>0</v>
      </c>
      <c r="G21" s="23">
        <v>0</v>
      </c>
      <c r="H21" s="24">
        <v>0</v>
      </c>
      <c r="I21" s="23">
        <v>0</v>
      </c>
      <c r="J21" s="24">
        <v>1</v>
      </c>
      <c r="K21" s="23">
        <v>78658</v>
      </c>
    </row>
    <row r="22" spans="1:11" s="22" customFormat="1" x14ac:dyDescent="0.25">
      <c r="A22" s="22" t="s">
        <v>6</v>
      </c>
      <c r="B22" s="22" t="s">
        <v>7</v>
      </c>
      <c r="C22" s="23">
        <v>227944210</v>
      </c>
      <c r="D22" s="24">
        <v>3.5</v>
      </c>
      <c r="E22" s="23">
        <v>797805</v>
      </c>
      <c r="F22" s="24">
        <v>0</v>
      </c>
      <c r="G22" s="23">
        <v>0</v>
      </c>
      <c r="H22" s="24">
        <v>0</v>
      </c>
      <c r="I22" s="23">
        <v>0</v>
      </c>
      <c r="J22" s="24">
        <v>3.5</v>
      </c>
      <c r="K22" s="23">
        <v>797805</v>
      </c>
    </row>
    <row r="23" spans="1:11" s="22" customFormat="1" x14ac:dyDescent="0.25">
      <c r="A23" s="22" t="s">
        <v>21</v>
      </c>
      <c r="B23" s="22" t="s">
        <v>22</v>
      </c>
      <c r="C23" s="23">
        <v>865137200</v>
      </c>
      <c r="D23" s="24">
        <v>3.298</v>
      </c>
      <c r="E23" s="23">
        <v>2853222</v>
      </c>
      <c r="F23" s="24">
        <v>1.044</v>
      </c>
      <c r="G23" s="23">
        <v>903203</v>
      </c>
      <c r="H23" s="24">
        <v>0</v>
      </c>
      <c r="I23" s="23">
        <v>0</v>
      </c>
      <c r="J23" s="24">
        <v>3.7160000000000002</v>
      </c>
      <c r="K23" s="23">
        <v>3214850</v>
      </c>
    </row>
    <row r="24" spans="1:11" s="22" customFormat="1" x14ac:dyDescent="0.25">
      <c r="A24" s="22" t="s">
        <v>79</v>
      </c>
      <c r="B24" s="22" t="s">
        <v>80</v>
      </c>
      <c r="C24" s="23">
        <v>304230890</v>
      </c>
      <c r="D24" s="24">
        <v>2.516</v>
      </c>
      <c r="E24" s="23">
        <v>765445</v>
      </c>
      <c r="F24" s="24">
        <v>0</v>
      </c>
      <c r="G24" s="23">
        <v>0</v>
      </c>
      <c r="H24" s="24">
        <v>0</v>
      </c>
      <c r="I24" s="23">
        <v>0</v>
      </c>
      <c r="J24" s="24">
        <v>2.516</v>
      </c>
      <c r="K24" s="23">
        <v>765445</v>
      </c>
    </row>
    <row r="25" spans="1:11" s="22" customFormat="1" x14ac:dyDescent="0.25">
      <c r="A25" s="22" t="s">
        <v>108</v>
      </c>
      <c r="B25" s="22" t="s">
        <v>107</v>
      </c>
      <c r="C25" s="23">
        <v>339860203</v>
      </c>
      <c r="D25" s="24">
        <v>4.5199999999999996</v>
      </c>
      <c r="E25" s="23">
        <v>1536168</v>
      </c>
      <c r="F25" s="24">
        <v>0</v>
      </c>
      <c r="G25" s="23">
        <v>0</v>
      </c>
      <c r="H25" s="24">
        <v>0</v>
      </c>
      <c r="I25" s="23">
        <v>0</v>
      </c>
      <c r="J25" s="24">
        <v>4.5359999999999996</v>
      </c>
      <c r="K25" s="23">
        <v>1541606</v>
      </c>
    </row>
    <row r="26" spans="1:11" s="22" customFormat="1" x14ac:dyDescent="0.25">
      <c r="A26" s="22" t="s">
        <v>86</v>
      </c>
      <c r="B26" s="22" t="s">
        <v>87</v>
      </c>
      <c r="C26" s="25">
        <v>2214359610</v>
      </c>
      <c r="D26" s="24">
        <v>0</v>
      </c>
      <c r="E26" s="23">
        <v>0</v>
      </c>
      <c r="F26" s="24">
        <v>0</v>
      </c>
      <c r="G26" s="23">
        <v>0</v>
      </c>
      <c r="H26" s="24">
        <v>1</v>
      </c>
      <c r="I26" s="23">
        <v>2214360</v>
      </c>
      <c r="J26" s="24">
        <v>1</v>
      </c>
      <c r="K26" s="23">
        <v>2214360</v>
      </c>
    </row>
    <row r="27" spans="1:11" s="22" customFormat="1" x14ac:dyDescent="0.25">
      <c r="A27" s="22" t="s">
        <v>88</v>
      </c>
      <c r="B27" s="22" t="s">
        <v>89</v>
      </c>
      <c r="C27" s="23">
        <v>359945030</v>
      </c>
      <c r="D27" s="24">
        <v>0.23899999999999999</v>
      </c>
      <c r="E27" s="23">
        <v>86027</v>
      </c>
      <c r="F27" s="24">
        <v>0</v>
      </c>
      <c r="G27" s="23">
        <v>0</v>
      </c>
      <c r="H27" s="24">
        <v>0</v>
      </c>
      <c r="I27" s="23">
        <v>0</v>
      </c>
      <c r="J27" s="24">
        <v>0.23899999999999999</v>
      </c>
      <c r="K27" s="23">
        <v>86027</v>
      </c>
    </row>
    <row r="28" spans="1:11" s="22" customFormat="1" x14ac:dyDescent="0.25">
      <c r="A28" s="22" t="s">
        <v>90</v>
      </c>
      <c r="B28" s="22" t="s">
        <v>91</v>
      </c>
      <c r="C28" s="23">
        <v>661036540</v>
      </c>
      <c r="D28" s="24">
        <v>2.41</v>
      </c>
      <c r="E28" s="23">
        <v>1593098</v>
      </c>
      <c r="F28" s="24">
        <v>0</v>
      </c>
      <c r="G28" s="23">
        <v>0</v>
      </c>
      <c r="H28" s="24">
        <v>0</v>
      </c>
      <c r="I28" s="23">
        <v>0</v>
      </c>
      <c r="J28" s="24">
        <v>3.36</v>
      </c>
      <c r="K28" s="23">
        <v>2221083</v>
      </c>
    </row>
    <row r="29" spans="1:11" s="22" customFormat="1" x14ac:dyDescent="0.25">
      <c r="A29" s="22" t="s">
        <v>92</v>
      </c>
      <c r="B29" s="22" t="s">
        <v>93</v>
      </c>
      <c r="C29" s="23">
        <v>593082760</v>
      </c>
      <c r="D29" s="24">
        <v>1.57</v>
      </c>
      <c r="E29" s="23">
        <v>931140</v>
      </c>
      <c r="F29" s="24">
        <v>0</v>
      </c>
      <c r="G29" s="23">
        <v>0</v>
      </c>
      <c r="H29" s="24">
        <v>0</v>
      </c>
      <c r="I29" s="23">
        <v>0</v>
      </c>
      <c r="J29" s="24">
        <v>1.57</v>
      </c>
      <c r="K29" s="23">
        <v>931140</v>
      </c>
    </row>
    <row r="30" spans="1:11" s="22" customFormat="1" x14ac:dyDescent="0.25">
      <c r="A30" s="22" t="s">
        <v>56</v>
      </c>
      <c r="B30" s="22" t="s">
        <v>57</v>
      </c>
      <c r="C30" s="23">
        <v>130792400</v>
      </c>
      <c r="D30" s="24">
        <v>3.2490000000000001</v>
      </c>
      <c r="E30" s="23">
        <v>424945</v>
      </c>
      <c r="F30" s="24">
        <v>0</v>
      </c>
      <c r="G30" s="23">
        <v>0</v>
      </c>
      <c r="H30" s="24">
        <v>0</v>
      </c>
      <c r="I30" s="23">
        <v>0</v>
      </c>
      <c r="J30" s="24">
        <v>3.2709999999999999</v>
      </c>
      <c r="K30" s="23">
        <v>427822</v>
      </c>
    </row>
    <row r="31" spans="1:11" s="22" customFormat="1" x14ac:dyDescent="0.25">
      <c r="A31" s="22" t="s">
        <v>56</v>
      </c>
      <c r="B31" s="22" t="s">
        <v>31</v>
      </c>
      <c r="C31" s="23">
        <v>8269964100</v>
      </c>
      <c r="D31" s="24">
        <v>3.2490000000000001</v>
      </c>
      <c r="E31" s="23">
        <v>26869113</v>
      </c>
      <c r="F31" s="24">
        <v>0</v>
      </c>
      <c r="G31" s="23">
        <v>0</v>
      </c>
      <c r="H31" s="24">
        <v>0</v>
      </c>
      <c r="I31" s="23">
        <v>0</v>
      </c>
      <c r="J31" s="24">
        <v>3.2709999999999999</v>
      </c>
      <c r="K31" s="23">
        <v>27051053</v>
      </c>
    </row>
    <row r="32" spans="1:11" s="22" customFormat="1" x14ac:dyDescent="0.25">
      <c r="A32" s="22" t="s">
        <v>40</v>
      </c>
      <c r="B32" s="22" t="s">
        <v>94</v>
      </c>
      <c r="C32" s="23">
        <v>55827230</v>
      </c>
      <c r="D32" s="24">
        <v>1.75</v>
      </c>
      <c r="E32" s="23">
        <v>97698</v>
      </c>
      <c r="F32" s="24">
        <v>0</v>
      </c>
      <c r="G32" s="23">
        <v>0</v>
      </c>
      <c r="H32" s="24">
        <v>0</v>
      </c>
      <c r="I32" s="23">
        <v>0</v>
      </c>
      <c r="J32" s="24">
        <v>1.75</v>
      </c>
      <c r="K32" s="23">
        <v>97698</v>
      </c>
    </row>
    <row r="33" spans="1:11" s="22" customFormat="1" x14ac:dyDescent="0.25">
      <c r="A33" s="22" t="s">
        <v>103</v>
      </c>
      <c r="B33" s="22" t="s">
        <v>104</v>
      </c>
      <c r="C33" s="23">
        <v>268141880</v>
      </c>
      <c r="D33" s="24">
        <v>1.5</v>
      </c>
      <c r="E33" s="23">
        <v>402213</v>
      </c>
      <c r="F33" s="24">
        <v>0</v>
      </c>
      <c r="G33" s="23">
        <v>0</v>
      </c>
      <c r="H33" s="24">
        <v>0</v>
      </c>
      <c r="I33" s="23">
        <v>0</v>
      </c>
      <c r="J33" s="24">
        <v>1.5</v>
      </c>
      <c r="K33" s="23">
        <v>402213</v>
      </c>
    </row>
    <row r="34" spans="1:11" s="22" customFormat="1" x14ac:dyDescent="0.25">
      <c r="A34" s="22" t="s">
        <v>112</v>
      </c>
      <c r="B34" s="22" t="s">
        <v>98</v>
      </c>
      <c r="C34" s="23">
        <v>45978060</v>
      </c>
      <c r="D34" s="24">
        <v>1.4119999999999999</v>
      </c>
      <c r="E34" s="23">
        <v>64921</v>
      </c>
      <c r="F34" s="24">
        <v>0</v>
      </c>
      <c r="G34" s="23">
        <v>0</v>
      </c>
      <c r="H34" s="24">
        <v>0</v>
      </c>
      <c r="I34" s="23">
        <v>0</v>
      </c>
      <c r="J34" s="24">
        <v>1.4119999999999999</v>
      </c>
      <c r="K34" s="23">
        <v>64921</v>
      </c>
    </row>
    <row r="35" spans="1:11" s="22" customFormat="1" x14ac:dyDescent="0.25">
      <c r="A35" s="22" t="s">
        <v>99</v>
      </c>
      <c r="B35" s="22" t="s">
        <v>100</v>
      </c>
      <c r="C35" s="23">
        <v>8273616072</v>
      </c>
      <c r="D35" s="24">
        <v>4.5</v>
      </c>
      <c r="E35" s="23">
        <v>37231272</v>
      </c>
      <c r="F35" s="24">
        <v>0</v>
      </c>
      <c r="G35" s="23">
        <v>0</v>
      </c>
      <c r="H35" s="24">
        <v>0</v>
      </c>
      <c r="I35" s="23">
        <v>0</v>
      </c>
      <c r="J35" s="24">
        <v>4.5</v>
      </c>
      <c r="K35" s="23">
        <v>37231272</v>
      </c>
    </row>
    <row r="36" spans="1:11" s="22" customFormat="1" x14ac:dyDescent="0.25">
      <c r="A36" s="22" t="s">
        <v>83</v>
      </c>
      <c r="B36" s="22" t="s">
        <v>84</v>
      </c>
      <c r="C36" s="23">
        <v>99617300</v>
      </c>
      <c r="D36" s="24">
        <v>2</v>
      </c>
      <c r="E36" s="23">
        <v>199235</v>
      </c>
      <c r="F36" s="24">
        <v>0</v>
      </c>
      <c r="G36" s="23">
        <v>0</v>
      </c>
      <c r="H36" s="24">
        <v>0</v>
      </c>
      <c r="I36" s="23">
        <v>0</v>
      </c>
      <c r="J36" s="24">
        <v>2.0579999999999998</v>
      </c>
      <c r="K36" s="23">
        <v>205012</v>
      </c>
    </row>
    <row r="37" spans="1:11" s="22" customFormat="1" x14ac:dyDescent="0.25">
      <c r="A37" s="22" t="s">
        <v>101</v>
      </c>
      <c r="B37" s="22" t="s">
        <v>102</v>
      </c>
      <c r="C37" s="23">
        <v>38160690</v>
      </c>
      <c r="D37" s="24">
        <v>1.5</v>
      </c>
      <c r="E37" s="23">
        <v>57241</v>
      </c>
      <c r="F37" s="24">
        <v>0</v>
      </c>
      <c r="G37" s="23">
        <v>0</v>
      </c>
      <c r="H37" s="24">
        <v>0</v>
      </c>
      <c r="I37" s="23">
        <v>0</v>
      </c>
      <c r="J37" s="24">
        <v>1.5</v>
      </c>
      <c r="K37" s="23">
        <v>57241</v>
      </c>
    </row>
    <row r="38" spans="1:11" s="22" customFormat="1" x14ac:dyDescent="0.25">
      <c r="A38" s="22" t="s">
        <v>95</v>
      </c>
      <c r="B38" s="22" t="s">
        <v>96</v>
      </c>
      <c r="C38" s="23">
        <v>35874742</v>
      </c>
      <c r="D38" s="24">
        <v>5.91</v>
      </c>
      <c r="E38" s="23">
        <v>212020</v>
      </c>
      <c r="F38" s="24">
        <v>0</v>
      </c>
      <c r="G38" s="23">
        <v>0</v>
      </c>
      <c r="H38" s="24">
        <v>0</v>
      </c>
      <c r="I38" s="23">
        <v>0</v>
      </c>
      <c r="J38" s="24">
        <v>5.9189999999999996</v>
      </c>
      <c r="K38" s="23">
        <v>212343</v>
      </c>
    </row>
    <row r="39" spans="1:11" s="22" customFormat="1" x14ac:dyDescent="0.25">
      <c r="A39" s="22" t="s">
        <v>54</v>
      </c>
      <c r="B39" s="22" t="s">
        <v>55</v>
      </c>
      <c r="C39" s="23">
        <v>60643547</v>
      </c>
      <c r="D39" s="24">
        <v>1.5</v>
      </c>
      <c r="E39" s="23">
        <v>90965</v>
      </c>
      <c r="F39" s="24">
        <v>0</v>
      </c>
      <c r="G39" s="23">
        <v>0</v>
      </c>
      <c r="H39" s="24">
        <v>0</v>
      </c>
      <c r="I39" s="23">
        <v>0</v>
      </c>
      <c r="J39" s="24">
        <v>1.5</v>
      </c>
      <c r="K39" s="23">
        <v>90965</v>
      </c>
    </row>
    <row r="40" spans="1:11" s="22" customFormat="1" x14ac:dyDescent="0.25">
      <c r="A40" s="22" t="s">
        <v>3</v>
      </c>
      <c r="B40" s="22" t="s">
        <v>2</v>
      </c>
      <c r="C40" s="23">
        <v>47001350</v>
      </c>
      <c r="D40" s="24">
        <v>8</v>
      </c>
      <c r="E40" s="23">
        <v>376011</v>
      </c>
      <c r="F40" s="24">
        <v>0</v>
      </c>
      <c r="G40" s="23">
        <v>0</v>
      </c>
      <c r="H40" s="24">
        <v>0</v>
      </c>
      <c r="I40" s="23">
        <v>0</v>
      </c>
      <c r="J40" s="24">
        <v>8.0139999999999993</v>
      </c>
      <c r="K40" s="23">
        <v>376669</v>
      </c>
    </row>
    <row r="41" spans="1:11" s="22" customFormat="1" x14ac:dyDescent="0.25">
      <c r="A41" s="22" t="s">
        <v>16</v>
      </c>
      <c r="B41" s="22" t="s">
        <v>17</v>
      </c>
      <c r="C41" s="23">
        <v>623081770</v>
      </c>
      <c r="D41" s="24">
        <v>2.032</v>
      </c>
      <c r="E41" s="23">
        <v>1266102</v>
      </c>
      <c r="F41" s="24">
        <v>0</v>
      </c>
      <c r="G41" s="23">
        <v>0</v>
      </c>
      <c r="H41" s="24">
        <v>0</v>
      </c>
      <c r="I41" s="23">
        <v>0</v>
      </c>
      <c r="J41" s="24">
        <v>2.032</v>
      </c>
      <c r="K41" s="23">
        <v>1266102</v>
      </c>
    </row>
    <row r="42" spans="1:11" s="22" customFormat="1" x14ac:dyDescent="0.25">
      <c r="A42" s="22" t="s">
        <v>110</v>
      </c>
      <c r="B42" s="22" t="s">
        <v>0</v>
      </c>
      <c r="C42" s="23">
        <v>1845476330</v>
      </c>
      <c r="D42" s="24">
        <v>3</v>
      </c>
      <c r="E42" s="23">
        <v>5536429</v>
      </c>
      <c r="F42" s="24">
        <v>0</v>
      </c>
      <c r="G42" s="23">
        <v>0</v>
      </c>
      <c r="H42" s="24">
        <v>0</v>
      </c>
      <c r="I42" s="23">
        <v>0</v>
      </c>
      <c r="J42" s="24">
        <v>3.0129999999999999</v>
      </c>
      <c r="K42" s="23">
        <v>5560420</v>
      </c>
    </row>
    <row r="43" spans="1:11" s="22" customFormat="1" x14ac:dyDescent="0.25">
      <c r="A43" s="22" t="s">
        <v>5</v>
      </c>
      <c r="B43" s="22" t="s">
        <v>4</v>
      </c>
      <c r="C43" s="23">
        <v>509873440</v>
      </c>
      <c r="D43" s="24">
        <v>3</v>
      </c>
      <c r="E43" s="23">
        <v>1529620</v>
      </c>
      <c r="F43" s="24">
        <v>0</v>
      </c>
      <c r="G43" s="23">
        <v>0</v>
      </c>
      <c r="H43" s="24">
        <v>0</v>
      </c>
      <c r="I43" s="23">
        <v>0</v>
      </c>
      <c r="J43" s="24">
        <v>3</v>
      </c>
      <c r="K43" s="23">
        <v>1529620</v>
      </c>
    </row>
    <row r="44" spans="1:11" s="22" customFormat="1" x14ac:dyDescent="0.25">
      <c r="A44" s="22" t="s">
        <v>58</v>
      </c>
      <c r="B44" s="22" t="s">
        <v>57</v>
      </c>
      <c r="C44" s="23">
        <v>66183731</v>
      </c>
      <c r="D44" s="24">
        <v>4.4000000000000004</v>
      </c>
      <c r="E44" s="23">
        <v>291208</v>
      </c>
      <c r="F44" s="24">
        <v>2.0150000000000001</v>
      </c>
      <c r="G44" s="23">
        <v>133360</v>
      </c>
      <c r="H44" s="24">
        <v>0</v>
      </c>
      <c r="I44" s="23">
        <v>0</v>
      </c>
      <c r="J44" s="24">
        <v>6.415</v>
      </c>
      <c r="K44" s="23">
        <v>424569</v>
      </c>
    </row>
    <row r="45" spans="1:11" s="22" customFormat="1" x14ac:dyDescent="0.25">
      <c r="A45" s="22" t="s">
        <v>59</v>
      </c>
      <c r="B45" s="22" t="s">
        <v>60</v>
      </c>
      <c r="C45" s="23">
        <v>183031961</v>
      </c>
      <c r="D45" s="24">
        <v>2.5</v>
      </c>
      <c r="E45" s="23">
        <v>457580</v>
      </c>
      <c r="F45" s="24">
        <v>0</v>
      </c>
      <c r="G45" s="23">
        <v>0</v>
      </c>
      <c r="H45" s="24">
        <v>0</v>
      </c>
      <c r="I45" s="23">
        <v>0</v>
      </c>
      <c r="J45" s="24">
        <v>2.5</v>
      </c>
      <c r="K45" s="23">
        <v>457580</v>
      </c>
    </row>
    <row r="46" spans="1:11" s="22" customFormat="1" x14ac:dyDescent="0.25">
      <c r="A46" s="22" t="s">
        <v>41</v>
      </c>
      <c r="B46" s="22" t="s">
        <v>8</v>
      </c>
      <c r="C46" s="23">
        <v>55511580</v>
      </c>
      <c r="D46" s="24">
        <v>1.5</v>
      </c>
      <c r="E46" s="23">
        <v>83267</v>
      </c>
      <c r="F46" s="24">
        <v>0</v>
      </c>
      <c r="G46" s="23">
        <v>0</v>
      </c>
      <c r="H46" s="24">
        <v>0</v>
      </c>
      <c r="I46" s="23">
        <v>0</v>
      </c>
      <c r="J46" s="24">
        <v>1.5</v>
      </c>
      <c r="K46" s="23">
        <v>83267</v>
      </c>
    </row>
    <row r="47" spans="1:11" s="22" customFormat="1" ht="14.25" customHeight="1" x14ac:dyDescent="0.25">
      <c r="A47" s="22" t="s">
        <v>85</v>
      </c>
      <c r="B47" s="22" t="s">
        <v>84</v>
      </c>
      <c r="C47" s="23">
        <v>32713849</v>
      </c>
      <c r="D47" s="24">
        <v>5.508</v>
      </c>
      <c r="E47" s="23">
        <v>180188</v>
      </c>
      <c r="F47" s="24">
        <v>0</v>
      </c>
      <c r="G47" s="23">
        <v>0</v>
      </c>
      <c r="H47" s="24">
        <v>0</v>
      </c>
      <c r="I47" s="23">
        <v>0</v>
      </c>
      <c r="J47" s="24">
        <v>5.508</v>
      </c>
      <c r="K47" s="23">
        <v>180188</v>
      </c>
    </row>
    <row r="48" spans="1:11" s="22" customFormat="1" x14ac:dyDescent="0.25">
      <c r="A48" s="22" t="s">
        <v>81</v>
      </c>
      <c r="B48" s="22" t="s">
        <v>82</v>
      </c>
      <c r="C48" s="23">
        <v>6617856790</v>
      </c>
      <c r="D48" s="24">
        <v>3.9340000000000002</v>
      </c>
      <c r="E48" s="23">
        <v>26034649</v>
      </c>
      <c r="F48" s="24">
        <v>0</v>
      </c>
      <c r="G48" s="23">
        <v>0</v>
      </c>
      <c r="H48" s="24">
        <v>0</v>
      </c>
      <c r="I48" s="23">
        <v>0</v>
      </c>
      <c r="J48" s="24">
        <v>3.9569999999999999</v>
      </c>
      <c r="K48" s="23">
        <v>26186859</v>
      </c>
    </row>
    <row r="49" spans="1:11" s="22" customFormat="1" x14ac:dyDescent="0.25">
      <c r="A49" s="22" t="s">
        <v>105</v>
      </c>
      <c r="B49" s="22" t="s">
        <v>104</v>
      </c>
      <c r="C49" s="23">
        <v>220740250</v>
      </c>
      <c r="D49" s="24">
        <v>2.5</v>
      </c>
      <c r="E49" s="23">
        <v>551851</v>
      </c>
      <c r="F49" s="24">
        <v>0</v>
      </c>
      <c r="G49" s="23">
        <v>0</v>
      </c>
      <c r="H49" s="24">
        <v>0</v>
      </c>
      <c r="I49" s="23">
        <v>0</v>
      </c>
      <c r="J49" s="24">
        <v>2.5</v>
      </c>
      <c r="K49" s="23">
        <v>551851</v>
      </c>
    </row>
    <row r="50" spans="1:11" s="22" customFormat="1" x14ac:dyDescent="0.25">
      <c r="A50" s="22" t="s">
        <v>11</v>
      </c>
      <c r="B50" s="22" t="s">
        <v>10</v>
      </c>
      <c r="C50" s="23">
        <v>2763276940</v>
      </c>
      <c r="D50" s="24">
        <v>1.625</v>
      </c>
      <c r="E50" s="23">
        <v>4490325</v>
      </c>
      <c r="F50" s="24">
        <v>0</v>
      </c>
      <c r="G50" s="23">
        <v>0</v>
      </c>
      <c r="H50" s="24">
        <v>0</v>
      </c>
      <c r="I50" s="23">
        <v>0</v>
      </c>
      <c r="J50" s="24">
        <v>1.411</v>
      </c>
      <c r="K50" s="23">
        <v>3898984</v>
      </c>
    </row>
    <row r="51" spans="1:11" s="22" customFormat="1" x14ac:dyDescent="0.25">
      <c r="A51" s="22" t="s">
        <v>35</v>
      </c>
      <c r="B51" s="22" t="s">
        <v>107</v>
      </c>
      <c r="C51" s="23">
        <v>3005843593</v>
      </c>
      <c r="D51" s="24">
        <v>3</v>
      </c>
      <c r="E51" s="23">
        <v>9017531</v>
      </c>
      <c r="F51" s="24">
        <v>0</v>
      </c>
      <c r="G51" s="23">
        <v>0</v>
      </c>
      <c r="H51" s="24">
        <v>0</v>
      </c>
      <c r="I51" s="23">
        <v>0</v>
      </c>
      <c r="J51" s="24">
        <v>3.0339999999999998</v>
      </c>
      <c r="K51" s="23">
        <v>9119729</v>
      </c>
    </row>
    <row r="52" spans="1:11" s="22" customFormat="1" x14ac:dyDescent="0.25">
      <c r="A52" s="22" t="s">
        <v>12</v>
      </c>
      <c r="B52" s="22" t="s">
        <v>13</v>
      </c>
      <c r="C52" s="23">
        <v>128671851</v>
      </c>
      <c r="D52" s="24">
        <v>0</v>
      </c>
      <c r="E52" s="23">
        <v>0</v>
      </c>
      <c r="F52" s="24">
        <v>0</v>
      </c>
      <c r="G52" s="23">
        <v>0</v>
      </c>
      <c r="H52" s="24">
        <v>0</v>
      </c>
      <c r="I52" s="23">
        <v>0</v>
      </c>
      <c r="J52" s="24">
        <v>0</v>
      </c>
      <c r="K52" s="23">
        <v>0</v>
      </c>
    </row>
    <row r="53" spans="1:11" s="22" customFormat="1" x14ac:dyDescent="0.25">
      <c r="A53" s="22" t="s">
        <v>14</v>
      </c>
      <c r="B53" s="22" t="s">
        <v>15</v>
      </c>
      <c r="C53" s="23">
        <v>1720213127</v>
      </c>
      <c r="D53" s="24">
        <v>5.25</v>
      </c>
      <c r="E53" s="23">
        <v>9031119</v>
      </c>
      <c r="F53" s="24">
        <v>0</v>
      </c>
      <c r="G53" s="23">
        <v>0</v>
      </c>
      <c r="H53" s="24">
        <v>0</v>
      </c>
      <c r="I53" s="23">
        <v>0</v>
      </c>
      <c r="J53" s="24">
        <v>5.282</v>
      </c>
      <c r="K53" s="23">
        <v>9086166</v>
      </c>
    </row>
    <row r="54" spans="1:11" s="22" customFormat="1" x14ac:dyDescent="0.25">
      <c r="A54" s="22" t="s">
        <v>28</v>
      </c>
      <c r="B54" s="22" t="s">
        <v>29</v>
      </c>
      <c r="C54" s="23">
        <v>254324550</v>
      </c>
      <c r="D54" s="24">
        <v>4.1189999999999998</v>
      </c>
      <c r="E54" s="23">
        <v>1047563</v>
      </c>
      <c r="F54" s="24">
        <v>1.1000000000000001</v>
      </c>
      <c r="G54" s="23">
        <v>279757</v>
      </c>
      <c r="H54" s="24">
        <v>0</v>
      </c>
      <c r="I54" s="23">
        <v>0</v>
      </c>
      <c r="J54" s="24">
        <v>5.2469999999999999</v>
      </c>
      <c r="K54" s="23">
        <v>1334441</v>
      </c>
    </row>
    <row r="55" spans="1:11" s="22" customFormat="1" x14ac:dyDescent="0.25">
      <c r="A55" s="22" t="s">
        <v>18</v>
      </c>
      <c r="B55" s="22" t="s">
        <v>17</v>
      </c>
      <c r="C55" s="23">
        <v>265084270</v>
      </c>
      <c r="D55" s="24">
        <v>0.5</v>
      </c>
      <c r="E55" s="23">
        <v>132542</v>
      </c>
      <c r="F55" s="24">
        <v>0</v>
      </c>
      <c r="G55" s="23">
        <v>0</v>
      </c>
      <c r="H55" s="24">
        <v>0</v>
      </c>
      <c r="I55" s="23">
        <v>0</v>
      </c>
      <c r="J55" s="24">
        <v>0.5</v>
      </c>
      <c r="K55" s="23">
        <v>132542</v>
      </c>
    </row>
    <row r="56" spans="1:11" s="22" customFormat="1" x14ac:dyDescent="0.25">
      <c r="A56" s="22" t="s">
        <v>50</v>
      </c>
      <c r="B56" s="22" t="s">
        <v>49</v>
      </c>
      <c r="C56" s="23">
        <v>4008927530</v>
      </c>
      <c r="D56" s="24">
        <v>2.827</v>
      </c>
      <c r="E56" s="23">
        <v>11333238</v>
      </c>
      <c r="F56" s="24">
        <v>0</v>
      </c>
      <c r="G56" s="23">
        <v>0</v>
      </c>
      <c r="H56" s="24">
        <v>0</v>
      </c>
      <c r="I56" s="23">
        <v>0</v>
      </c>
      <c r="J56" s="24">
        <v>3.6589999999999998</v>
      </c>
      <c r="K56" s="23">
        <v>14668666</v>
      </c>
    </row>
    <row r="57" spans="1:11" s="22" customFormat="1" x14ac:dyDescent="0.25">
      <c r="A57" s="22" t="s">
        <v>109</v>
      </c>
      <c r="B57" s="22" t="s">
        <v>107</v>
      </c>
      <c r="C57" s="23">
        <v>53306851</v>
      </c>
      <c r="D57" s="24">
        <v>4.75</v>
      </c>
      <c r="E57" s="23">
        <v>253208</v>
      </c>
      <c r="F57" s="24">
        <v>0</v>
      </c>
      <c r="G57" s="23">
        <v>0</v>
      </c>
      <c r="H57" s="24">
        <v>0</v>
      </c>
      <c r="I57" s="23">
        <v>0</v>
      </c>
      <c r="J57" s="24">
        <v>4.75</v>
      </c>
      <c r="K57" s="23">
        <v>253208</v>
      </c>
    </row>
    <row r="58" spans="1:11" s="22" customFormat="1" x14ac:dyDescent="0.25">
      <c r="A58" s="22" t="s">
        <v>9</v>
      </c>
      <c r="B58" s="22" t="s">
        <v>8</v>
      </c>
      <c r="C58" s="23">
        <v>95309790</v>
      </c>
      <c r="D58" s="24">
        <v>2.8</v>
      </c>
      <c r="E58" s="23">
        <v>266867</v>
      </c>
      <c r="F58" s="24">
        <v>0</v>
      </c>
      <c r="G58" s="23">
        <v>0</v>
      </c>
      <c r="H58" s="24">
        <v>0</v>
      </c>
      <c r="I58" s="23">
        <v>0</v>
      </c>
      <c r="J58" s="24">
        <v>3.3559999999999999</v>
      </c>
      <c r="K58" s="23">
        <v>319860</v>
      </c>
    </row>
    <row r="59" spans="1:11" s="22" customFormat="1" x14ac:dyDescent="0.25">
      <c r="A59" s="22" t="s">
        <v>19</v>
      </c>
      <c r="B59" s="22" t="s">
        <v>20</v>
      </c>
      <c r="C59" s="23">
        <v>181342594</v>
      </c>
      <c r="D59" s="24">
        <v>1.5</v>
      </c>
      <c r="E59" s="23">
        <v>272014</v>
      </c>
      <c r="F59" s="24">
        <v>0</v>
      </c>
      <c r="G59" s="23">
        <v>0</v>
      </c>
      <c r="H59" s="24">
        <v>0</v>
      </c>
      <c r="I59" s="23">
        <v>0</v>
      </c>
      <c r="J59" s="24">
        <v>1.5</v>
      </c>
      <c r="K59" s="23">
        <v>272014</v>
      </c>
    </row>
    <row r="60" spans="1:11" s="22" customFormat="1" x14ac:dyDescent="0.25">
      <c r="A60" s="22" t="s">
        <v>61</v>
      </c>
      <c r="B60" s="22" t="s">
        <v>60</v>
      </c>
      <c r="C60" s="23">
        <v>207386693</v>
      </c>
      <c r="D60" s="24">
        <v>3.5</v>
      </c>
      <c r="E60" s="23">
        <v>725853</v>
      </c>
      <c r="F60" s="24">
        <v>0</v>
      </c>
      <c r="G60" s="23">
        <v>0</v>
      </c>
      <c r="H60" s="24">
        <v>0</v>
      </c>
      <c r="I60" s="23">
        <v>0</v>
      </c>
      <c r="J60" s="24">
        <v>3.504</v>
      </c>
      <c r="K60" s="23">
        <v>726683</v>
      </c>
    </row>
    <row r="61" spans="1:11" s="22" customFormat="1" x14ac:dyDescent="0.25">
      <c r="A61" s="22" t="s">
        <v>30</v>
      </c>
      <c r="B61" s="22" t="s">
        <v>29</v>
      </c>
      <c r="C61" s="23">
        <v>241468220</v>
      </c>
      <c r="D61" s="24">
        <v>0.57299999999999995</v>
      </c>
      <c r="E61" s="23">
        <v>138361</v>
      </c>
      <c r="F61" s="24">
        <v>0</v>
      </c>
      <c r="G61" s="23">
        <v>0</v>
      </c>
      <c r="H61" s="24">
        <v>0</v>
      </c>
      <c r="I61" s="23">
        <v>0</v>
      </c>
      <c r="J61" s="24">
        <v>0.56499999999999995</v>
      </c>
      <c r="K61" s="23">
        <v>136430</v>
      </c>
    </row>
    <row r="62" spans="1:11" s="22" customFormat="1" x14ac:dyDescent="0.25">
      <c r="A62" s="22" t="s">
        <v>114</v>
      </c>
      <c r="B62" s="22" t="s">
        <v>25</v>
      </c>
      <c r="C62" s="23">
        <v>747730070</v>
      </c>
      <c r="D62" s="24">
        <v>2.8</v>
      </c>
      <c r="E62" s="23">
        <v>2093644</v>
      </c>
      <c r="F62" s="24">
        <v>0.83899999999999997</v>
      </c>
      <c r="G62" s="23">
        <v>627346</v>
      </c>
      <c r="H62" s="24">
        <v>0</v>
      </c>
      <c r="I62" s="23">
        <v>0</v>
      </c>
      <c r="J62" s="24">
        <v>3.6560000000000001</v>
      </c>
      <c r="K62" s="23">
        <v>2733701</v>
      </c>
    </row>
    <row r="63" spans="1:11" s="22" customFormat="1" x14ac:dyDescent="0.25">
      <c r="A63" s="22" t="s">
        <v>113</v>
      </c>
      <c r="B63" s="22" t="s">
        <v>25</v>
      </c>
      <c r="C63" s="23">
        <v>39736650</v>
      </c>
      <c r="D63" s="24">
        <v>10.428000000000001</v>
      </c>
      <c r="E63" s="23">
        <v>414374</v>
      </c>
      <c r="F63" s="24">
        <v>0</v>
      </c>
      <c r="G63" s="23">
        <v>0</v>
      </c>
      <c r="H63" s="24">
        <v>0</v>
      </c>
      <c r="I63" s="23">
        <v>0</v>
      </c>
      <c r="J63" s="24">
        <v>10.428000000000001</v>
      </c>
      <c r="K63" s="23">
        <v>414374</v>
      </c>
    </row>
    <row r="64" spans="1:11" s="22" customFormat="1" x14ac:dyDescent="0.25">
      <c r="A64" s="22" t="s">
        <v>23</v>
      </c>
      <c r="B64" s="22" t="s">
        <v>22</v>
      </c>
      <c r="C64" s="23">
        <v>92399320</v>
      </c>
      <c r="D64" s="24">
        <v>1.147</v>
      </c>
      <c r="E64" s="23">
        <v>105982</v>
      </c>
      <c r="F64" s="24">
        <v>0</v>
      </c>
      <c r="G64" s="23">
        <v>0</v>
      </c>
      <c r="H64" s="24">
        <v>0</v>
      </c>
      <c r="I64" s="23">
        <v>0</v>
      </c>
      <c r="J64" s="24">
        <v>1.147</v>
      </c>
      <c r="K64" s="23">
        <v>105982</v>
      </c>
    </row>
    <row r="65" spans="1:11" s="22" customFormat="1" x14ac:dyDescent="0.25">
      <c r="A65" s="22" t="s">
        <v>97</v>
      </c>
      <c r="B65" s="22" t="s">
        <v>96</v>
      </c>
      <c r="C65" s="23">
        <v>88802494</v>
      </c>
      <c r="D65" s="24">
        <v>2.08</v>
      </c>
      <c r="E65" s="23">
        <v>184709</v>
      </c>
      <c r="F65" s="24">
        <v>1.8360000000000001</v>
      </c>
      <c r="G65" s="23">
        <v>163041</v>
      </c>
      <c r="H65" s="24">
        <v>0</v>
      </c>
      <c r="I65" s="23">
        <v>0</v>
      </c>
      <c r="J65" s="24">
        <v>3.98</v>
      </c>
      <c r="K65" s="23">
        <v>353434</v>
      </c>
    </row>
    <row r="66" spans="1:11" s="22" customFormat="1" x14ac:dyDescent="0.25">
      <c r="A66" s="22" t="s">
        <v>26</v>
      </c>
      <c r="B66" s="22" t="s">
        <v>27</v>
      </c>
      <c r="C66" s="23">
        <v>1745981510</v>
      </c>
      <c r="D66" s="24">
        <v>0.88900000000000001</v>
      </c>
      <c r="E66" s="23">
        <v>1552178</v>
      </c>
      <c r="F66" s="24">
        <v>0</v>
      </c>
      <c r="G66" s="23">
        <v>0</v>
      </c>
      <c r="H66" s="24">
        <v>0</v>
      </c>
      <c r="I66" s="23">
        <v>0</v>
      </c>
      <c r="J66" s="24">
        <v>0.88900000000000001</v>
      </c>
      <c r="K66" s="23">
        <v>1552178</v>
      </c>
    </row>
    <row r="67" spans="1:11" s="22" customFormat="1" x14ac:dyDescent="0.25">
      <c r="A67" s="22" t="s">
        <v>52</v>
      </c>
      <c r="B67" s="22" t="s">
        <v>53</v>
      </c>
      <c r="C67" s="23">
        <v>296123210</v>
      </c>
      <c r="D67" s="24">
        <v>1.5</v>
      </c>
      <c r="E67" s="23">
        <v>444185</v>
      </c>
      <c r="F67" s="24">
        <v>0</v>
      </c>
      <c r="G67" s="23">
        <v>0</v>
      </c>
      <c r="H67" s="24">
        <v>0</v>
      </c>
      <c r="I67" s="23">
        <v>0</v>
      </c>
      <c r="J67" s="24">
        <v>1.5029999999999999</v>
      </c>
      <c r="K67" s="23">
        <v>445073</v>
      </c>
    </row>
    <row r="68" spans="1:11" s="22" customFormat="1" x14ac:dyDescent="0.25">
      <c r="A68" s="22" t="s">
        <v>69</v>
      </c>
      <c r="B68" s="22" t="s">
        <v>70</v>
      </c>
      <c r="C68" s="23">
        <v>95262510</v>
      </c>
      <c r="D68" s="24">
        <v>1.9830000000000001</v>
      </c>
      <c r="E68" s="23">
        <v>188906</v>
      </c>
      <c r="F68" s="24">
        <v>0</v>
      </c>
      <c r="G68" s="23">
        <v>0</v>
      </c>
      <c r="H68" s="24">
        <v>0</v>
      </c>
      <c r="I68" s="23">
        <v>0</v>
      </c>
      <c r="J68" s="24">
        <v>1.9870000000000001</v>
      </c>
      <c r="K68" s="23">
        <v>188906</v>
      </c>
    </row>
    <row r="69" spans="1:11" s="22" customFormat="1" x14ac:dyDescent="0.25">
      <c r="A69" s="22" t="s">
        <v>24</v>
      </c>
      <c r="B69" s="22" t="s">
        <v>22</v>
      </c>
      <c r="C69" s="23">
        <v>111483200</v>
      </c>
      <c r="D69" s="24">
        <v>1.7110000000000001</v>
      </c>
      <c r="E69" s="23">
        <v>190748</v>
      </c>
      <c r="F69" s="24">
        <v>0.49299999999999999</v>
      </c>
      <c r="G69" s="23">
        <v>54961</v>
      </c>
      <c r="H69" s="24">
        <v>0</v>
      </c>
      <c r="I69" s="23">
        <v>0</v>
      </c>
      <c r="J69" s="24">
        <v>2.2040000000000002</v>
      </c>
      <c r="K69" s="23">
        <v>245709</v>
      </c>
    </row>
    <row r="70" spans="1:11" x14ac:dyDescent="0.25">
      <c r="C70"/>
      <c r="D70"/>
      <c r="E70"/>
      <c r="F70"/>
      <c r="G70"/>
      <c r="H70"/>
      <c r="I70"/>
      <c r="J70"/>
      <c r="K70"/>
    </row>
    <row r="71" spans="1:11" x14ac:dyDescent="0.25">
      <c r="C71"/>
      <c r="D71"/>
      <c r="E71"/>
      <c r="F71"/>
      <c r="G71"/>
      <c r="H71"/>
      <c r="I71"/>
      <c r="J71"/>
      <c r="K71"/>
    </row>
    <row r="72" spans="1:11" x14ac:dyDescent="0.25">
      <c r="C72"/>
      <c r="D72"/>
      <c r="E72"/>
      <c r="F72"/>
      <c r="G72"/>
      <c r="H72"/>
      <c r="I72"/>
      <c r="J72"/>
      <c r="K72"/>
    </row>
    <row r="73" spans="1:11" x14ac:dyDescent="0.25">
      <c r="C73"/>
      <c r="D73"/>
      <c r="E73"/>
      <c r="F73"/>
      <c r="G73"/>
      <c r="H73"/>
      <c r="I73"/>
      <c r="J73"/>
      <c r="K73"/>
    </row>
    <row r="74" spans="1:11" x14ac:dyDescent="0.25">
      <c r="A74" t="s">
        <v>115</v>
      </c>
      <c r="C74" s="8"/>
      <c r="D74" s="12"/>
      <c r="E74" s="13"/>
      <c r="G74" s="8"/>
      <c r="I74" s="8"/>
      <c r="K74" s="11"/>
    </row>
    <row r="75" spans="1:11" x14ac:dyDescent="0.25">
      <c r="C75" s="2"/>
      <c r="E75" s="20"/>
    </row>
    <row r="76" spans="1:11" x14ac:dyDescent="0.25">
      <c r="B76" s="21"/>
      <c r="C76" s="8"/>
      <c r="E76" s="20"/>
    </row>
    <row r="77" spans="1:11" x14ac:dyDescent="0.25">
      <c r="E77" s="20"/>
    </row>
    <row r="78" spans="1:11" x14ac:dyDescent="0.25">
      <c r="A78" s="1"/>
      <c r="B78" s="2"/>
      <c r="E78" s="20"/>
    </row>
    <row r="79" spans="1:11" x14ac:dyDescent="0.25">
      <c r="E79" s="20"/>
    </row>
  </sheetData>
  <mergeCells count="6">
    <mergeCell ref="A1:C1"/>
    <mergeCell ref="J3:K3"/>
    <mergeCell ref="D5:E5"/>
    <mergeCell ref="D3:E3"/>
    <mergeCell ref="H3:I3"/>
    <mergeCell ref="F3:G3"/>
  </mergeCells>
  <phoneticPr fontId="4" type="noConversion"/>
  <conditionalFormatting sqref="A6:XFD69">
    <cfRule type="expression" dxfId="4" priority="1">
      <formula>MOD(ROW(),2)=0</formula>
    </cfRule>
  </conditionalFormatting>
  <pageMargins left="0.25" right="0.25" top="0.5" bottom="0.5" header="0.3" footer="0.3"/>
  <pageSetup paperSize="5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0"/>
  <sheetViews>
    <sheetView workbookViewId="0">
      <selection activeCell="A6" sqref="A6:XFD70"/>
    </sheetView>
  </sheetViews>
  <sheetFormatPr defaultColWidth="8.7109375" defaultRowHeight="15" x14ac:dyDescent="0.25"/>
  <cols>
    <col min="1" max="1" width="66.28515625" customWidth="1"/>
    <col min="2" max="2" width="12.42578125" customWidth="1"/>
    <col min="3" max="3" width="26.28515625" style="7" customWidth="1"/>
    <col min="4" max="4" width="14.28515625" style="1" customWidth="1"/>
    <col min="5" max="5" width="19.42578125" style="7" customWidth="1"/>
    <col min="6" max="6" width="19.42578125" style="26" customWidth="1"/>
    <col min="7" max="7" width="25.7109375" style="1" customWidth="1"/>
    <col min="8" max="8" width="24.28515625" style="7" customWidth="1"/>
    <col min="9" max="9" width="12.28515625" style="1" customWidth="1"/>
    <col min="10" max="10" width="20.42578125" style="7" customWidth="1"/>
    <col min="11" max="11" width="13" style="1" customWidth="1"/>
    <col min="12" max="12" width="15.28515625" style="10" bestFit="1" customWidth="1"/>
  </cols>
  <sheetData>
    <row r="1" spans="1:12" ht="16.5" thickBot="1" x14ac:dyDescent="0.3">
      <c r="A1" s="85" t="s">
        <v>117</v>
      </c>
      <c r="B1" s="86"/>
      <c r="C1" s="87"/>
    </row>
    <row r="2" spans="1:12" x14ac:dyDescent="0.25">
      <c r="C2"/>
      <c r="D2"/>
      <c r="E2"/>
      <c r="F2" s="27"/>
      <c r="G2"/>
      <c r="H2"/>
      <c r="I2"/>
      <c r="J2"/>
      <c r="K2"/>
      <c r="L2"/>
    </row>
    <row r="3" spans="1:12" x14ac:dyDescent="0.25">
      <c r="A3" s="14"/>
      <c r="C3" s="5"/>
      <c r="D3" s="90" t="s">
        <v>32</v>
      </c>
      <c r="E3" s="90"/>
      <c r="F3" s="28"/>
      <c r="G3" s="90" t="s">
        <v>62</v>
      </c>
      <c r="H3" s="90"/>
      <c r="I3" s="90" t="s">
        <v>46</v>
      </c>
      <c r="J3" s="90"/>
      <c r="K3" s="88" t="s">
        <v>47</v>
      </c>
      <c r="L3" s="88"/>
    </row>
    <row r="4" spans="1:12" x14ac:dyDescent="0.25">
      <c r="A4" s="4" t="s">
        <v>34</v>
      </c>
      <c r="B4" s="4" t="s">
        <v>48</v>
      </c>
      <c r="C4" s="6" t="s">
        <v>43</v>
      </c>
      <c r="D4" s="3" t="s">
        <v>44</v>
      </c>
      <c r="E4" s="6" t="s">
        <v>45</v>
      </c>
      <c r="F4" s="29"/>
      <c r="G4" s="3" t="s">
        <v>44</v>
      </c>
      <c r="H4" s="6" t="s">
        <v>45</v>
      </c>
      <c r="I4" s="3" t="s">
        <v>44</v>
      </c>
      <c r="J4" s="6" t="s">
        <v>45</v>
      </c>
      <c r="K4" s="3" t="s">
        <v>44</v>
      </c>
      <c r="L4" s="9" t="s">
        <v>45</v>
      </c>
    </row>
    <row r="5" spans="1:12" ht="15.75" thickBot="1" x14ac:dyDescent="0.3">
      <c r="A5" s="15"/>
      <c r="B5" s="15"/>
      <c r="C5" s="16"/>
      <c r="D5" s="89" t="s">
        <v>33</v>
      </c>
      <c r="E5" s="89"/>
      <c r="F5" s="30" t="s">
        <v>121</v>
      </c>
      <c r="G5" s="17"/>
      <c r="H5" s="17"/>
      <c r="I5" s="17"/>
      <c r="J5" s="17"/>
      <c r="K5" s="18"/>
      <c r="L5" s="17"/>
    </row>
    <row r="6" spans="1:12" s="22" customFormat="1" x14ac:dyDescent="0.25">
      <c r="A6" s="22" t="s">
        <v>42</v>
      </c>
      <c r="B6" s="22" t="s">
        <v>49</v>
      </c>
      <c r="C6" s="23">
        <v>3902020</v>
      </c>
      <c r="D6" s="24">
        <v>5.8529999999999998</v>
      </c>
      <c r="E6" s="23">
        <v>22839</v>
      </c>
      <c r="F6" s="33">
        <f t="shared" ref="F6:F40" si="0">((D6/1000)*C6)</f>
        <v>22838.52306</v>
      </c>
      <c r="G6" s="24">
        <v>0</v>
      </c>
      <c r="H6" s="23">
        <v>0</v>
      </c>
      <c r="I6" s="24">
        <v>0</v>
      </c>
      <c r="J6" s="23">
        <v>0</v>
      </c>
      <c r="K6" s="24">
        <f>D6+G6+I6</f>
        <v>5.8529999999999998</v>
      </c>
      <c r="L6" s="23">
        <f>E6+H6+J6</f>
        <v>22839</v>
      </c>
    </row>
    <row r="7" spans="1:12" s="22" customFormat="1" x14ac:dyDescent="0.25">
      <c r="A7" s="22" t="s">
        <v>42</v>
      </c>
      <c r="B7" s="22" t="s">
        <v>51</v>
      </c>
      <c r="C7" s="23">
        <v>5807394704</v>
      </c>
      <c r="D7" s="24">
        <v>5.8209999999999997</v>
      </c>
      <c r="E7" s="23">
        <v>33804845</v>
      </c>
      <c r="F7" s="33">
        <f t="shared" si="0"/>
        <v>33804844.571984001</v>
      </c>
      <c r="G7" s="24">
        <v>0</v>
      </c>
      <c r="H7" s="23">
        <v>0</v>
      </c>
      <c r="I7" s="24">
        <v>3.2000000000000001E-2</v>
      </c>
      <c r="J7" s="23">
        <v>185837</v>
      </c>
      <c r="K7" s="24">
        <f t="shared" ref="K7:K70" si="1">D7+G7+I7</f>
        <v>5.8529999999999998</v>
      </c>
      <c r="L7" s="23">
        <f t="shared" ref="L7:L70" si="2">E7+H7+J7</f>
        <v>33990682</v>
      </c>
    </row>
    <row r="8" spans="1:12" s="22" customFormat="1" x14ac:dyDescent="0.25">
      <c r="A8" s="22" t="s">
        <v>76</v>
      </c>
      <c r="B8" s="22" t="s">
        <v>77</v>
      </c>
      <c r="C8" s="23">
        <v>223194750</v>
      </c>
      <c r="D8" s="24">
        <v>2.61</v>
      </c>
      <c r="E8" s="23">
        <v>582538</v>
      </c>
      <c r="F8" s="33">
        <f t="shared" si="0"/>
        <v>582538.29749999999</v>
      </c>
      <c r="G8" s="24">
        <v>2.39</v>
      </c>
      <c r="H8" s="23">
        <v>533435</v>
      </c>
      <c r="I8" s="24">
        <f>0.89+0.02</f>
        <v>0.91</v>
      </c>
      <c r="J8" s="23">
        <f>198643+4464</f>
        <v>203107</v>
      </c>
      <c r="K8" s="24">
        <f t="shared" si="1"/>
        <v>5.91</v>
      </c>
      <c r="L8" s="23">
        <f t="shared" si="2"/>
        <v>1319080</v>
      </c>
    </row>
    <row r="9" spans="1:12" s="22" customFormat="1" x14ac:dyDescent="0.25">
      <c r="A9" s="22" t="s">
        <v>76</v>
      </c>
      <c r="B9" s="22" t="s">
        <v>10</v>
      </c>
      <c r="C9" s="23">
        <v>168738390</v>
      </c>
      <c r="D9" s="24">
        <v>2.61</v>
      </c>
      <c r="E9" s="23">
        <v>440407</v>
      </c>
      <c r="F9" s="33">
        <f t="shared" si="0"/>
        <v>440407.19789999997</v>
      </c>
      <c r="G9" s="24">
        <v>2.39</v>
      </c>
      <c r="H9" s="23">
        <v>403285</v>
      </c>
      <c r="I9" s="24">
        <f>0.89+0.02</f>
        <v>0.91</v>
      </c>
      <c r="J9" s="23">
        <f>150177+3375</f>
        <v>153552</v>
      </c>
      <c r="K9" s="24">
        <f t="shared" si="1"/>
        <v>5.91</v>
      </c>
      <c r="L9" s="23">
        <f t="shared" si="2"/>
        <v>997244</v>
      </c>
    </row>
    <row r="10" spans="1:12" s="22" customFormat="1" x14ac:dyDescent="0.25">
      <c r="A10" s="22" t="s">
        <v>106</v>
      </c>
      <c r="B10" s="22" t="s">
        <v>107</v>
      </c>
      <c r="C10" s="23">
        <v>170385699</v>
      </c>
      <c r="D10" s="24">
        <v>2.4</v>
      </c>
      <c r="E10" s="23">
        <v>408926</v>
      </c>
      <c r="F10" s="33">
        <f t="shared" si="0"/>
        <v>408925.67759999994</v>
      </c>
      <c r="G10" s="24">
        <v>0</v>
      </c>
      <c r="H10" s="23">
        <v>0</v>
      </c>
      <c r="I10" s="24">
        <v>0</v>
      </c>
      <c r="J10" s="23">
        <v>0</v>
      </c>
      <c r="K10" s="24">
        <f t="shared" si="1"/>
        <v>2.4</v>
      </c>
      <c r="L10" s="23">
        <f t="shared" si="2"/>
        <v>408926</v>
      </c>
    </row>
    <row r="11" spans="1:12" s="22" customFormat="1" x14ac:dyDescent="0.25">
      <c r="A11" s="22" t="s">
        <v>65</v>
      </c>
      <c r="B11" s="22" t="s">
        <v>111</v>
      </c>
      <c r="C11" s="23">
        <v>463664170</v>
      </c>
      <c r="D11" s="24">
        <v>2</v>
      </c>
      <c r="E11" s="23">
        <v>927328</v>
      </c>
      <c r="F11" s="33">
        <f t="shared" si="0"/>
        <v>927328.34</v>
      </c>
      <c r="G11" s="24">
        <v>0</v>
      </c>
      <c r="H11" s="23">
        <v>0</v>
      </c>
      <c r="I11" s="24">
        <v>0</v>
      </c>
      <c r="J11" s="23">
        <v>0</v>
      </c>
      <c r="K11" s="24">
        <f t="shared" si="1"/>
        <v>2</v>
      </c>
      <c r="L11" s="23">
        <f t="shared" si="2"/>
        <v>927328</v>
      </c>
    </row>
    <row r="12" spans="1:12" s="22" customFormat="1" x14ac:dyDescent="0.25">
      <c r="A12" s="22" t="s">
        <v>36</v>
      </c>
      <c r="B12" s="22" t="s">
        <v>31</v>
      </c>
      <c r="C12" s="23">
        <v>699793490</v>
      </c>
      <c r="D12" s="24">
        <v>3.5459999999999998</v>
      </c>
      <c r="E12" s="23">
        <v>2481468</v>
      </c>
      <c r="F12" s="33">
        <f t="shared" si="0"/>
        <v>2481467.7155399998</v>
      </c>
      <c r="G12" s="24">
        <v>0</v>
      </c>
      <c r="H12" s="23">
        <v>0</v>
      </c>
      <c r="I12" s="24">
        <v>2.4E-2</v>
      </c>
      <c r="J12" s="23">
        <v>16795</v>
      </c>
      <c r="K12" s="24">
        <f t="shared" si="1"/>
        <v>3.57</v>
      </c>
      <c r="L12" s="23">
        <f t="shared" si="2"/>
        <v>2498263</v>
      </c>
    </row>
    <row r="13" spans="1:12" s="22" customFormat="1" x14ac:dyDescent="0.25">
      <c r="A13" s="22" t="s">
        <v>66</v>
      </c>
      <c r="B13" s="22" t="s">
        <v>37</v>
      </c>
      <c r="C13" s="23">
        <v>68503164</v>
      </c>
      <c r="D13" s="24">
        <v>2</v>
      </c>
      <c r="E13" s="23">
        <v>137006</v>
      </c>
      <c r="F13" s="33">
        <f t="shared" si="0"/>
        <v>137006.32800000001</v>
      </c>
      <c r="G13" s="24">
        <v>0</v>
      </c>
      <c r="H13" s="23">
        <v>0</v>
      </c>
      <c r="I13" s="24">
        <v>1.9E-2</v>
      </c>
      <c r="J13" s="23">
        <v>1302</v>
      </c>
      <c r="K13" s="24">
        <f t="shared" si="1"/>
        <v>2.0190000000000001</v>
      </c>
      <c r="L13" s="23">
        <f t="shared" si="2"/>
        <v>138308</v>
      </c>
    </row>
    <row r="14" spans="1:12" s="22" customFormat="1" x14ac:dyDescent="0.25">
      <c r="A14" s="22" t="s">
        <v>67</v>
      </c>
      <c r="B14" s="22" t="s">
        <v>68</v>
      </c>
      <c r="C14" s="23">
        <v>127394414</v>
      </c>
      <c r="D14" s="24">
        <v>0.5</v>
      </c>
      <c r="E14" s="23">
        <v>63697</v>
      </c>
      <c r="F14" s="33">
        <f t="shared" si="0"/>
        <v>63697.207000000002</v>
      </c>
      <c r="G14" s="24">
        <v>0</v>
      </c>
      <c r="H14" s="23">
        <v>0</v>
      </c>
      <c r="I14" s="24">
        <v>0</v>
      </c>
      <c r="J14" s="23">
        <v>0</v>
      </c>
      <c r="K14" s="24">
        <f t="shared" si="1"/>
        <v>0.5</v>
      </c>
      <c r="L14" s="23">
        <f t="shared" si="2"/>
        <v>63697</v>
      </c>
    </row>
    <row r="15" spans="1:12" s="22" customFormat="1" x14ac:dyDescent="0.25">
      <c r="A15" s="22" t="s">
        <v>39</v>
      </c>
      <c r="B15" s="22" t="s">
        <v>38</v>
      </c>
      <c r="C15" s="23">
        <v>294984451</v>
      </c>
      <c r="D15" s="24">
        <v>3</v>
      </c>
      <c r="E15" s="23">
        <v>884953</v>
      </c>
      <c r="F15" s="33">
        <f t="shared" si="0"/>
        <v>884953.353</v>
      </c>
      <c r="G15" s="24">
        <v>0</v>
      </c>
      <c r="H15" s="23">
        <v>0</v>
      </c>
      <c r="I15" s="24">
        <v>0</v>
      </c>
      <c r="J15" s="23">
        <v>0</v>
      </c>
      <c r="K15" s="24">
        <f t="shared" si="1"/>
        <v>3</v>
      </c>
      <c r="L15" s="23">
        <f t="shared" si="2"/>
        <v>884953</v>
      </c>
    </row>
    <row r="16" spans="1:12" s="22" customFormat="1" x14ac:dyDescent="0.25">
      <c r="A16" s="22" t="s">
        <v>71</v>
      </c>
      <c r="B16" s="22" t="s">
        <v>4</v>
      </c>
      <c r="C16" s="23">
        <v>4657419</v>
      </c>
      <c r="D16" s="24">
        <v>3</v>
      </c>
      <c r="E16" s="23">
        <v>13972</v>
      </c>
      <c r="F16" s="33">
        <f t="shared" si="0"/>
        <v>13972.257</v>
      </c>
      <c r="G16" s="24">
        <v>0</v>
      </c>
      <c r="H16" s="23">
        <v>0</v>
      </c>
      <c r="I16" s="24">
        <v>0</v>
      </c>
      <c r="J16" s="23">
        <v>0</v>
      </c>
      <c r="K16" s="24">
        <f t="shared" si="1"/>
        <v>3</v>
      </c>
      <c r="L16" s="23">
        <f t="shared" si="2"/>
        <v>13972</v>
      </c>
    </row>
    <row r="17" spans="1:12" s="22" customFormat="1" x14ac:dyDescent="0.25">
      <c r="A17" s="22" t="s">
        <v>72</v>
      </c>
      <c r="B17" s="22" t="s">
        <v>73</v>
      </c>
      <c r="C17" s="23">
        <v>135463915</v>
      </c>
      <c r="D17" s="24">
        <v>1</v>
      </c>
      <c r="E17" s="23">
        <v>135464</v>
      </c>
      <c r="F17" s="33">
        <f t="shared" si="0"/>
        <v>135463.91500000001</v>
      </c>
      <c r="G17" s="24">
        <v>0</v>
      </c>
      <c r="H17" s="23">
        <v>0</v>
      </c>
      <c r="I17" s="24">
        <v>0</v>
      </c>
      <c r="J17" s="23">
        <v>0</v>
      </c>
      <c r="K17" s="24">
        <f t="shared" si="1"/>
        <v>1</v>
      </c>
      <c r="L17" s="23">
        <f t="shared" si="2"/>
        <v>135464</v>
      </c>
    </row>
    <row r="18" spans="1:12" s="22" customFormat="1" x14ac:dyDescent="0.25">
      <c r="A18" s="22" t="s">
        <v>1</v>
      </c>
      <c r="B18" s="22" t="s">
        <v>2</v>
      </c>
      <c r="C18" s="23">
        <v>57639100</v>
      </c>
      <c r="D18" s="24">
        <v>4.1559999999999997</v>
      </c>
      <c r="E18" s="23">
        <v>239548</v>
      </c>
      <c r="F18" s="33">
        <f t="shared" si="0"/>
        <v>239548.09959999999</v>
      </c>
      <c r="G18" s="24">
        <v>0</v>
      </c>
      <c r="H18" s="23">
        <v>0</v>
      </c>
      <c r="I18" s="24">
        <v>1.7000000000000001E-2</v>
      </c>
      <c r="J18" s="23">
        <v>980</v>
      </c>
      <c r="K18" s="24">
        <f t="shared" si="1"/>
        <v>4.173</v>
      </c>
      <c r="L18" s="23">
        <f t="shared" si="2"/>
        <v>240528</v>
      </c>
    </row>
    <row r="19" spans="1:12" s="22" customFormat="1" x14ac:dyDescent="0.25">
      <c r="A19" s="22" t="s">
        <v>120</v>
      </c>
      <c r="B19" s="22" t="s">
        <v>75</v>
      </c>
      <c r="C19" s="23">
        <v>6361633430</v>
      </c>
      <c r="D19" s="24">
        <v>4</v>
      </c>
      <c r="E19" s="23">
        <v>25446534</v>
      </c>
      <c r="F19" s="33">
        <f t="shared" si="0"/>
        <v>25446533.719999999</v>
      </c>
      <c r="G19" s="24">
        <v>0</v>
      </c>
      <c r="H19" s="23">
        <v>0</v>
      </c>
      <c r="I19" s="24">
        <v>2.1000000000000001E-2</v>
      </c>
      <c r="J19" s="23">
        <v>133594</v>
      </c>
      <c r="K19" s="24">
        <f t="shared" si="1"/>
        <v>4.0209999999999999</v>
      </c>
      <c r="L19" s="23">
        <f t="shared" si="2"/>
        <v>25580128</v>
      </c>
    </row>
    <row r="20" spans="1:12" s="22" customFormat="1" x14ac:dyDescent="0.25">
      <c r="A20" s="22" t="s">
        <v>78</v>
      </c>
      <c r="B20" s="22" t="s">
        <v>77</v>
      </c>
      <c r="C20" s="23">
        <v>1835682750</v>
      </c>
      <c r="D20" s="24">
        <v>2.75</v>
      </c>
      <c r="E20" s="23">
        <v>5048128</v>
      </c>
      <c r="F20" s="33">
        <f t="shared" si="0"/>
        <v>5048127.5625</v>
      </c>
      <c r="G20" s="24">
        <v>0</v>
      </c>
      <c r="H20" s="23">
        <v>0</v>
      </c>
      <c r="I20" s="24">
        <v>0</v>
      </c>
      <c r="J20" s="23">
        <v>0</v>
      </c>
      <c r="K20" s="24">
        <f t="shared" si="1"/>
        <v>2.75</v>
      </c>
      <c r="L20" s="23">
        <f t="shared" si="2"/>
        <v>5048128</v>
      </c>
    </row>
    <row r="21" spans="1:12" s="22" customFormat="1" x14ac:dyDescent="0.25">
      <c r="A21" s="22" t="s">
        <v>63</v>
      </c>
      <c r="B21" s="22" t="s">
        <v>64</v>
      </c>
      <c r="C21" s="23">
        <v>76436760</v>
      </c>
      <c r="D21" s="24">
        <v>1</v>
      </c>
      <c r="E21" s="23">
        <v>76437</v>
      </c>
      <c r="F21" s="33">
        <f t="shared" si="0"/>
        <v>76436.759999999995</v>
      </c>
      <c r="G21" s="24">
        <v>0</v>
      </c>
      <c r="H21" s="23">
        <v>0</v>
      </c>
      <c r="I21" s="24">
        <v>0</v>
      </c>
      <c r="J21" s="23">
        <v>0</v>
      </c>
      <c r="K21" s="24">
        <f t="shared" si="1"/>
        <v>1</v>
      </c>
      <c r="L21" s="23">
        <f t="shared" si="2"/>
        <v>76437</v>
      </c>
    </row>
    <row r="22" spans="1:12" s="22" customFormat="1" x14ac:dyDescent="0.25">
      <c r="A22" s="22" t="s">
        <v>6</v>
      </c>
      <c r="B22" s="22" t="s">
        <v>7</v>
      </c>
      <c r="C22" s="23">
        <v>242563320</v>
      </c>
      <c r="D22" s="24">
        <v>3.5</v>
      </c>
      <c r="E22" s="23">
        <v>848972</v>
      </c>
      <c r="F22" s="33">
        <f t="shared" si="0"/>
        <v>848971.62</v>
      </c>
      <c r="G22" s="24">
        <v>0</v>
      </c>
      <c r="H22" s="23">
        <v>0</v>
      </c>
      <c r="I22" s="24">
        <v>0</v>
      </c>
      <c r="J22" s="23">
        <v>0</v>
      </c>
      <c r="K22" s="24">
        <f t="shared" si="1"/>
        <v>3.5</v>
      </c>
      <c r="L22" s="23">
        <f t="shared" si="2"/>
        <v>848972</v>
      </c>
    </row>
    <row r="23" spans="1:12" s="22" customFormat="1" x14ac:dyDescent="0.25">
      <c r="A23" s="22" t="s">
        <v>21</v>
      </c>
      <c r="B23" s="22" t="s">
        <v>22</v>
      </c>
      <c r="C23" s="23">
        <v>916021550</v>
      </c>
      <c r="D23" s="24">
        <f>3.298-0.814</f>
        <v>2.484</v>
      </c>
      <c r="E23" s="23">
        <f>3021039-745642</f>
        <v>2275397</v>
      </c>
      <c r="F23" s="33">
        <f t="shared" si="0"/>
        <v>2275397.5301999999</v>
      </c>
      <c r="G23" s="24">
        <v>1.0229999999999999</v>
      </c>
      <c r="H23" s="23">
        <v>937090</v>
      </c>
      <c r="I23" s="24">
        <v>0</v>
      </c>
      <c r="J23" s="23">
        <v>0</v>
      </c>
      <c r="K23" s="24">
        <f t="shared" si="1"/>
        <v>3.5069999999999997</v>
      </c>
      <c r="L23" s="23">
        <f t="shared" si="2"/>
        <v>3212487</v>
      </c>
    </row>
    <row r="24" spans="1:12" s="22" customFormat="1" x14ac:dyDescent="0.25">
      <c r="A24" s="22" t="s">
        <v>79</v>
      </c>
      <c r="B24" s="22" t="s">
        <v>80</v>
      </c>
      <c r="C24" s="23">
        <v>355845170</v>
      </c>
      <c r="D24" s="24">
        <v>2.516</v>
      </c>
      <c r="E24" s="23">
        <v>895306</v>
      </c>
      <c r="F24" s="33">
        <f t="shared" si="0"/>
        <v>895306.44772000005</v>
      </c>
      <c r="G24" s="24">
        <v>0</v>
      </c>
      <c r="H24" s="23">
        <v>0</v>
      </c>
      <c r="I24" s="24">
        <v>0</v>
      </c>
      <c r="J24" s="23">
        <v>0</v>
      </c>
      <c r="K24" s="24">
        <f t="shared" si="1"/>
        <v>2.516</v>
      </c>
      <c r="L24" s="23">
        <f t="shared" si="2"/>
        <v>895306</v>
      </c>
    </row>
    <row r="25" spans="1:12" s="22" customFormat="1" x14ac:dyDescent="0.25">
      <c r="A25" s="22" t="s">
        <v>108</v>
      </c>
      <c r="B25" s="22" t="s">
        <v>107</v>
      </c>
      <c r="C25" s="23">
        <v>361694914</v>
      </c>
      <c r="D25" s="24">
        <v>4.5199999999999996</v>
      </c>
      <c r="E25" s="23">
        <v>1634861</v>
      </c>
      <c r="F25" s="33">
        <f t="shared" si="0"/>
        <v>1634861.01128</v>
      </c>
      <c r="G25" s="24">
        <v>0</v>
      </c>
      <c r="H25" s="23">
        <v>0</v>
      </c>
      <c r="I25" s="24">
        <v>0.39500000000000002</v>
      </c>
      <c r="J25" s="23">
        <v>142869</v>
      </c>
      <c r="K25" s="24">
        <f t="shared" si="1"/>
        <v>4.9149999999999991</v>
      </c>
      <c r="L25" s="23">
        <f t="shared" si="2"/>
        <v>1777730</v>
      </c>
    </row>
    <row r="26" spans="1:12" s="22" customFormat="1" x14ac:dyDescent="0.25">
      <c r="A26" s="22" t="s">
        <v>86</v>
      </c>
      <c r="B26" s="22" t="s">
        <v>87</v>
      </c>
      <c r="C26" s="25">
        <v>2181107390</v>
      </c>
      <c r="D26" s="24">
        <v>0</v>
      </c>
      <c r="E26" s="23">
        <v>0</v>
      </c>
      <c r="F26" s="33">
        <f t="shared" si="0"/>
        <v>0</v>
      </c>
      <c r="G26" s="24">
        <v>0</v>
      </c>
      <c r="H26" s="23">
        <v>0</v>
      </c>
      <c r="I26" s="24">
        <f>1+0.001</f>
        <v>1.0009999999999999</v>
      </c>
      <c r="J26" s="23">
        <f>2181107+2181</f>
        <v>2183288</v>
      </c>
      <c r="K26" s="24">
        <f t="shared" si="1"/>
        <v>1.0009999999999999</v>
      </c>
      <c r="L26" s="23">
        <f t="shared" si="2"/>
        <v>2183288</v>
      </c>
    </row>
    <row r="27" spans="1:12" s="22" customFormat="1" x14ac:dyDescent="0.25">
      <c r="A27" s="22" t="s">
        <v>88</v>
      </c>
      <c r="B27" s="22" t="s">
        <v>89</v>
      </c>
      <c r="C27" s="23">
        <v>367824500</v>
      </c>
      <c r="D27" s="24">
        <v>0.23899999999999999</v>
      </c>
      <c r="E27" s="23">
        <v>87910</v>
      </c>
      <c r="F27" s="33">
        <f t="shared" si="0"/>
        <v>87910.055499999988</v>
      </c>
      <c r="G27" s="24">
        <v>0</v>
      </c>
      <c r="H27" s="23">
        <v>0</v>
      </c>
      <c r="I27" s="24">
        <v>0</v>
      </c>
      <c r="J27" s="23">
        <v>0</v>
      </c>
      <c r="K27" s="24">
        <f t="shared" si="1"/>
        <v>0.23899999999999999</v>
      </c>
      <c r="L27" s="23">
        <f t="shared" si="2"/>
        <v>87910</v>
      </c>
    </row>
    <row r="28" spans="1:12" s="22" customFormat="1" x14ac:dyDescent="0.25">
      <c r="A28" s="22" t="s">
        <v>90</v>
      </c>
      <c r="B28" s="22" t="s">
        <v>91</v>
      </c>
      <c r="C28" s="23">
        <v>659479840</v>
      </c>
      <c r="D28" s="24">
        <v>2.41</v>
      </c>
      <c r="E28" s="23">
        <v>1589346</v>
      </c>
      <c r="F28" s="33">
        <f t="shared" si="0"/>
        <v>1589346.4144000001</v>
      </c>
      <c r="G28" s="24">
        <v>0.95</v>
      </c>
      <c r="H28" s="23">
        <v>626506</v>
      </c>
      <c r="I28" s="24">
        <v>0.24199999999999999</v>
      </c>
      <c r="J28" s="23">
        <v>159594</v>
      </c>
      <c r="K28" s="24">
        <f t="shared" si="1"/>
        <v>3.6020000000000003</v>
      </c>
      <c r="L28" s="23">
        <f t="shared" si="2"/>
        <v>2375446</v>
      </c>
    </row>
    <row r="29" spans="1:12" s="22" customFormat="1" x14ac:dyDescent="0.25">
      <c r="A29" s="22" t="s">
        <v>92</v>
      </c>
      <c r="B29" s="22" t="s">
        <v>93</v>
      </c>
      <c r="C29" s="23">
        <v>596740430</v>
      </c>
      <c r="D29" s="24">
        <v>1.599</v>
      </c>
      <c r="E29" s="23">
        <v>954188</v>
      </c>
      <c r="F29" s="33">
        <f t="shared" si="0"/>
        <v>954187.94756999996</v>
      </c>
      <c r="G29" s="24">
        <v>0</v>
      </c>
      <c r="H29" s="23">
        <v>0</v>
      </c>
      <c r="I29" s="24">
        <v>1.2E-2</v>
      </c>
      <c r="J29" s="23">
        <v>7161</v>
      </c>
      <c r="K29" s="24">
        <f t="shared" si="1"/>
        <v>1.611</v>
      </c>
      <c r="L29" s="23">
        <f t="shared" si="2"/>
        <v>961349</v>
      </c>
    </row>
    <row r="30" spans="1:12" s="22" customFormat="1" x14ac:dyDescent="0.25">
      <c r="A30" s="22" t="s">
        <v>56</v>
      </c>
      <c r="B30" s="22" t="s">
        <v>57</v>
      </c>
      <c r="C30" s="23">
        <v>149792544</v>
      </c>
      <c r="D30" s="24">
        <v>3.2490000000000001</v>
      </c>
      <c r="E30" s="23">
        <v>486676</v>
      </c>
      <c r="F30" s="33">
        <f t="shared" si="0"/>
        <v>486675.97545600001</v>
      </c>
      <c r="G30" s="24">
        <v>0</v>
      </c>
      <c r="H30" s="23">
        <v>0</v>
      </c>
      <c r="I30" s="24">
        <v>7.0000000000000001E-3</v>
      </c>
      <c r="J30" s="23">
        <v>1049</v>
      </c>
      <c r="K30" s="24">
        <f t="shared" si="1"/>
        <v>3.2560000000000002</v>
      </c>
      <c r="L30" s="23">
        <f t="shared" si="2"/>
        <v>487725</v>
      </c>
    </row>
    <row r="31" spans="1:12" s="22" customFormat="1" x14ac:dyDescent="0.25">
      <c r="A31" s="22" t="s">
        <v>56</v>
      </c>
      <c r="B31" s="22" t="s">
        <v>31</v>
      </c>
      <c r="C31" s="23">
        <v>8438202960</v>
      </c>
      <c r="D31" s="24">
        <v>3.2490000000000001</v>
      </c>
      <c r="E31" s="23">
        <v>27415721</v>
      </c>
      <c r="F31" s="33">
        <f t="shared" si="0"/>
        <v>27415721.417040002</v>
      </c>
      <c r="G31" s="24">
        <v>0</v>
      </c>
      <c r="H31" s="23">
        <v>0</v>
      </c>
      <c r="I31" s="24">
        <v>7.0000000000000001E-3</v>
      </c>
      <c r="J31" s="23">
        <v>59067</v>
      </c>
      <c r="K31" s="24">
        <f t="shared" si="1"/>
        <v>3.2560000000000002</v>
      </c>
      <c r="L31" s="23">
        <f t="shared" si="2"/>
        <v>27474788</v>
      </c>
    </row>
    <row r="32" spans="1:12" s="22" customFormat="1" x14ac:dyDescent="0.25">
      <c r="A32" s="22" t="s">
        <v>40</v>
      </c>
      <c r="B32" s="22" t="s">
        <v>94</v>
      </c>
      <c r="C32" s="23">
        <v>52970841</v>
      </c>
      <c r="D32" s="24">
        <v>1.75</v>
      </c>
      <c r="E32" s="23">
        <v>92699</v>
      </c>
      <c r="F32" s="33">
        <f t="shared" si="0"/>
        <v>92698.971749999997</v>
      </c>
      <c r="G32" s="24">
        <v>0</v>
      </c>
      <c r="H32" s="23">
        <v>0</v>
      </c>
      <c r="I32" s="24">
        <v>0</v>
      </c>
      <c r="J32" s="23">
        <v>0</v>
      </c>
      <c r="K32" s="24">
        <f t="shared" si="1"/>
        <v>1.75</v>
      </c>
      <c r="L32" s="23">
        <f t="shared" si="2"/>
        <v>92699</v>
      </c>
    </row>
    <row r="33" spans="1:12" s="22" customFormat="1" x14ac:dyDescent="0.25">
      <c r="A33" s="22" t="s">
        <v>103</v>
      </c>
      <c r="B33" s="22" t="s">
        <v>104</v>
      </c>
      <c r="C33" s="23">
        <v>218911810</v>
      </c>
      <c r="D33" s="24">
        <v>1.5</v>
      </c>
      <c r="E33" s="23">
        <v>328368</v>
      </c>
      <c r="F33" s="33">
        <f t="shared" si="0"/>
        <v>328367.71500000003</v>
      </c>
      <c r="G33" s="24">
        <v>0</v>
      </c>
      <c r="H33" s="23">
        <v>0</v>
      </c>
      <c r="I33" s="24">
        <v>0</v>
      </c>
      <c r="J33" s="23">
        <v>0</v>
      </c>
      <c r="K33" s="24">
        <f t="shared" si="1"/>
        <v>1.5</v>
      </c>
      <c r="L33" s="23">
        <f t="shared" si="2"/>
        <v>328368</v>
      </c>
    </row>
    <row r="34" spans="1:12" s="22" customFormat="1" x14ac:dyDescent="0.25">
      <c r="A34" s="22" t="s">
        <v>112</v>
      </c>
      <c r="B34" s="22" t="s">
        <v>98</v>
      </c>
      <c r="C34" s="23">
        <v>55697831</v>
      </c>
      <c r="D34" s="24">
        <v>1.4119999999999999</v>
      </c>
      <c r="E34" s="23">
        <v>78645</v>
      </c>
      <c r="F34" s="33">
        <f t="shared" si="0"/>
        <v>78645.337371999995</v>
      </c>
      <c r="G34" s="24">
        <v>0</v>
      </c>
      <c r="H34" s="23">
        <v>0</v>
      </c>
      <c r="I34" s="24">
        <v>0</v>
      </c>
      <c r="J34" s="23">
        <v>0</v>
      </c>
      <c r="K34" s="24">
        <f t="shared" si="1"/>
        <v>1.4119999999999999</v>
      </c>
      <c r="L34" s="23">
        <f t="shared" si="2"/>
        <v>78645</v>
      </c>
    </row>
    <row r="35" spans="1:12" s="22" customFormat="1" x14ac:dyDescent="0.25">
      <c r="A35" s="22" t="s">
        <v>99</v>
      </c>
      <c r="B35" s="22" t="s">
        <v>100</v>
      </c>
      <c r="C35" s="23">
        <v>9532785033</v>
      </c>
      <c r="D35" s="24">
        <v>4.5</v>
      </c>
      <c r="E35" s="23">
        <v>42897533</v>
      </c>
      <c r="F35" s="33">
        <f t="shared" si="0"/>
        <v>42897532.648499995</v>
      </c>
      <c r="G35" s="24">
        <v>0</v>
      </c>
      <c r="H35" s="23">
        <v>0</v>
      </c>
      <c r="I35" s="24">
        <v>0</v>
      </c>
      <c r="J35" s="23">
        <v>0</v>
      </c>
      <c r="K35" s="24">
        <f t="shared" si="1"/>
        <v>4.5</v>
      </c>
      <c r="L35" s="23">
        <f t="shared" si="2"/>
        <v>42897533</v>
      </c>
    </row>
    <row r="36" spans="1:12" s="22" customFormat="1" x14ac:dyDescent="0.25">
      <c r="A36" s="22" t="s">
        <v>83</v>
      </c>
      <c r="B36" s="22" t="s">
        <v>84</v>
      </c>
      <c r="C36" s="23">
        <v>96667048</v>
      </c>
      <c r="D36" s="24">
        <v>2</v>
      </c>
      <c r="E36" s="23">
        <v>193334</v>
      </c>
      <c r="F36" s="33">
        <f t="shared" si="0"/>
        <v>193334.09599999999</v>
      </c>
      <c r="G36" s="24">
        <v>0</v>
      </c>
      <c r="H36" s="23">
        <v>0</v>
      </c>
      <c r="I36" s="24">
        <v>9.7000000000000003E-2</v>
      </c>
      <c r="J36" s="23">
        <v>9377</v>
      </c>
      <c r="K36" s="24">
        <f t="shared" si="1"/>
        <v>2.097</v>
      </c>
      <c r="L36" s="23">
        <f t="shared" si="2"/>
        <v>202711</v>
      </c>
    </row>
    <row r="37" spans="1:12" s="22" customFormat="1" x14ac:dyDescent="0.25">
      <c r="A37" s="22" t="s">
        <v>101</v>
      </c>
      <c r="B37" s="22" t="s">
        <v>102</v>
      </c>
      <c r="C37" s="23">
        <v>37649260</v>
      </c>
      <c r="D37" s="24">
        <v>1.5</v>
      </c>
      <c r="E37" s="23">
        <v>56474</v>
      </c>
      <c r="F37" s="33">
        <f t="shared" si="0"/>
        <v>56473.89</v>
      </c>
      <c r="G37" s="24">
        <v>0</v>
      </c>
      <c r="H37" s="23">
        <v>0</v>
      </c>
      <c r="I37" s="24">
        <v>0</v>
      </c>
      <c r="J37" s="23">
        <v>0</v>
      </c>
      <c r="K37" s="24">
        <f t="shared" si="1"/>
        <v>1.5</v>
      </c>
      <c r="L37" s="23">
        <f t="shared" si="2"/>
        <v>56474</v>
      </c>
    </row>
    <row r="38" spans="1:12" s="22" customFormat="1" x14ac:dyDescent="0.25">
      <c r="A38" s="22" t="s">
        <v>95</v>
      </c>
      <c r="B38" s="22" t="s">
        <v>96</v>
      </c>
      <c r="C38" s="23">
        <v>32680612</v>
      </c>
      <c r="D38" s="24">
        <v>5.91</v>
      </c>
      <c r="E38" s="23">
        <v>193142</v>
      </c>
      <c r="F38" s="33">
        <f t="shared" si="0"/>
        <v>193142.41692000002</v>
      </c>
      <c r="G38" s="24">
        <v>0</v>
      </c>
      <c r="H38" s="23">
        <v>0</v>
      </c>
      <c r="I38" s="24">
        <v>1.7999999999999999E-2</v>
      </c>
      <c r="J38" s="23">
        <v>588</v>
      </c>
      <c r="K38" s="24">
        <f t="shared" si="1"/>
        <v>5.9279999999999999</v>
      </c>
      <c r="L38" s="23">
        <f t="shared" si="2"/>
        <v>193730</v>
      </c>
    </row>
    <row r="39" spans="1:12" s="22" customFormat="1" x14ac:dyDescent="0.25">
      <c r="A39" s="22" t="s">
        <v>54</v>
      </c>
      <c r="B39" s="22" t="s">
        <v>55</v>
      </c>
      <c r="C39" s="23">
        <v>61195270</v>
      </c>
      <c r="D39" s="24">
        <v>1.5</v>
      </c>
      <c r="E39" s="23">
        <v>91793</v>
      </c>
      <c r="F39" s="33">
        <f t="shared" si="0"/>
        <v>91792.904999999999</v>
      </c>
      <c r="G39" s="24">
        <v>0</v>
      </c>
      <c r="H39" s="23">
        <v>0</v>
      </c>
      <c r="I39" s="24">
        <v>0</v>
      </c>
      <c r="J39" s="23">
        <v>0</v>
      </c>
      <c r="K39" s="24">
        <f t="shared" si="1"/>
        <v>1.5</v>
      </c>
      <c r="L39" s="23">
        <f t="shared" si="2"/>
        <v>91793</v>
      </c>
    </row>
    <row r="40" spans="1:12" s="22" customFormat="1" x14ac:dyDescent="0.25">
      <c r="A40" s="22" t="s">
        <v>118</v>
      </c>
      <c r="B40" s="22" t="s">
        <v>119</v>
      </c>
      <c r="C40" s="23">
        <v>12961423</v>
      </c>
      <c r="D40" s="24">
        <v>5.85</v>
      </c>
      <c r="E40" s="23">
        <v>75824</v>
      </c>
      <c r="F40" s="33">
        <f t="shared" si="0"/>
        <v>75824.32454999999</v>
      </c>
      <c r="G40" s="24">
        <v>0</v>
      </c>
      <c r="H40" s="23">
        <v>0</v>
      </c>
      <c r="I40" s="24">
        <v>8.0000000000000002E-3</v>
      </c>
      <c r="J40" s="23">
        <v>104</v>
      </c>
      <c r="K40" s="24">
        <f t="shared" si="1"/>
        <v>5.8579999999999997</v>
      </c>
      <c r="L40" s="23">
        <f t="shared" si="2"/>
        <v>75928</v>
      </c>
    </row>
    <row r="41" spans="1:12" s="22" customFormat="1" x14ac:dyDescent="0.25">
      <c r="A41" s="22" t="s">
        <v>3</v>
      </c>
      <c r="B41" s="22" t="s">
        <v>2</v>
      </c>
      <c r="C41" s="23">
        <v>45442410</v>
      </c>
      <c r="D41" s="24">
        <v>8</v>
      </c>
      <c r="E41" s="23">
        <v>363539</v>
      </c>
      <c r="F41" s="33">
        <f>((D41/1000)*C41)</f>
        <v>363539.28</v>
      </c>
      <c r="G41" s="24">
        <v>0</v>
      </c>
      <c r="H41" s="23">
        <v>0</v>
      </c>
      <c r="I41" s="24">
        <v>0.10100000000000001</v>
      </c>
      <c r="J41" s="23">
        <v>4590</v>
      </c>
      <c r="K41" s="24">
        <f t="shared" si="1"/>
        <v>8.1010000000000009</v>
      </c>
      <c r="L41" s="23">
        <f t="shared" si="2"/>
        <v>368129</v>
      </c>
    </row>
    <row r="42" spans="1:12" s="22" customFormat="1" x14ac:dyDescent="0.25">
      <c r="A42" s="22" t="s">
        <v>16</v>
      </c>
      <c r="B42" s="22" t="s">
        <v>17</v>
      </c>
      <c r="C42" s="23">
        <v>585410040</v>
      </c>
      <c r="D42" s="24">
        <v>2.032</v>
      </c>
      <c r="E42" s="23">
        <v>1189553</v>
      </c>
      <c r="F42" s="33">
        <f t="shared" ref="F42:F70" si="3">((D42/1000)*C42)</f>
        <v>1189553.2012799999</v>
      </c>
      <c r="G42" s="24">
        <v>0</v>
      </c>
      <c r="H42" s="23">
        <v>0</v>
      </c>
      <c r="I42" s="24">
        <v>0</v>
      </c>
      <c r="J42" s="23">
        <v>0</v>
      </c>
      <c r="K42" s="24">
        <f t="shared" si="1"/>
        <v>2.032</v>
      </c>
      <c r="L42" s="23">
        <f t="shared" si="2"/>
        <v>1189553</v>
      </c>
    </row>
    <row r="43" spans="1:12" s="22" customFormat="1" x14ac:dyDescent="0.25">
      <c r="A43" s="22" t="s">
        <v>110</v>
      </c>
      <c r="B43" s="22" t="s">
        <v>0</v>
      </c>
      <c r="C43" s="23">
        <v>1856729410</v>
      </c>
      <c r="D43" s="24">
        <v>3</v>
      </c>
      <c r="E43" s="23">
        <v>5570188</v>
      </c>
      <c r="F43" s="33">
        <f t="shared" si="3"/>
        <v>5570188.2300000004</v>
      </c>
      <c r="G43" s="24">
        <v>0</v>
      </c>
      <c r="H43" s="23">
        <v>0</v>
      </c>
      <c r="I43" s="24">
        <v>2.1000000000000001E-2</v>
      </c>
      <c r="J43" s="23">
        <v>38991</v>
      </c>
      <c r="K43" s="24">
        <f t="shared" si="1"/>
        <v>3.0209999999999999</v>
      </c>
      <c r="L43" s="23">
        <f t="shared" si="2"/>
        <v>5609179</v>
      </c>
    </row>
    <row r="44" spans="1:12" s="22" customFormat="1" x14ac:dyDescent="0.25">
      <c r="A44" s="22" t="s">
        <v>5</v>
      </c>
      <c r="B44" s="22" t="s">
        <v>4</v>
      </c>
      <c r="C44" s="23">
        <v>523414905</v>
      </c>
      <c r="D44" s="24">
        <v>3.85</v>
      </c>
      <c r="E44" s="23">
        <v>2015147</v>
      </c>
      <c r="F44" s="33">
        <f t="shared" si="3"/>
        <v>2015147.3842500001</v>
      </c>
      <c r="G44" s="24">
        <v>0</v>
      </c>
      <c r="H44" s="23">
        <v>0</v>
      </c>
      <c r="I44" s="24">
        <v>0</v>
      </c>
      <c r="J44" s="23">
        <v>0</v>
      </c>
      <c r="K44" s="24">
        <f t="shared" si="1"/>
        <v>3.85</v>
      </c>
      <c r="L44" s="23">
        <f t="shared" si="2"/>
        <v>2015147</v>
      </c>
    </row>
    <row r="45" spans="1:12" s="22" customFormat="1" x14ac:dyDescent="0.25">
      <c r="A45" s="22" t="s">
        <v>58</v>
      </c>
      <c r="B45" s="22" t="s">
        <v>57</v>
      </c>
      <c r="C45" s="23">
        <v>70354376</v>
      </c>
      <c r="D45" s="24">
        <v>4.4000000000000004</v>
      </c>
      <c r="E45" s="23">
        <v>309559</v>
      </c>
      <c r="F45" s="33">
        <f t="shared" si="3"/>
        <v>309559.25440000003</v>
      </c>
      <c r="G45" s="24">
        <f>0.99+0.92</f>
        <v>1.9100000000000001</v>
      </c>
      <c r="H45" s="23">
        <f>69651+64726</f>
        <v>134377</v>
      </c>
      <c r="I45" s="24">
        <v>0</v>
      </c>
      <c r="J45" s="23">
        <v>0</v>
      </c>
      <c r="K45" s="24">
        <f t="shared" si="1"/>
        <v>6.3100000000000005</v>
      </c>
      <c r="L45" s="23">
        <f t="shared" si="2"/>
        <v>443936</v>
      </c>
    </row>
    <row r="46" spans="1:12" s="22" customFormat="1" x14ac:dyDescent="0.25">
      <c r="A46" s="22" t="s">
        <v>59</v>
      </c>
      <c r="B46" s="22" t="s">
        <v>60</v>
      </c>
      <c r="C46" s="23">
        <v>192900500</v>
      </c>
      <c r="D46" s="24">
        <v>2.5</v>
      </c>
      <c r="E46" s="23">
        <v>482251</v>
      </c>
      <c r="F46" s="33">
        <f t="shared" si="3"/>
        <v>482251.25</v>
      </c>
      <c r="G46" s="24">
        <v>0</v>
      </c>
      <c r="H46" s="23">
        <v>0</v>
      </c>
      <c r="I46" s="24">
        <v>0</v>
      </c>
      <c r="J46" s="23">
        <v>0</v>
      </c>
      <c r="K46" s="24">
        <f t="shared" si="1"/>
        <v>2.5</v>
      </c>
      <c r="L46" s="23">
        <f t="shared" si="2"/>
        <v>482251</v>
      </c>
    </row>
    <row r="47" spans="1:12" s="22" customFormat="1" x14ac:dyDescent="0.25">
      <c r="A47" s="22" t="s">
        <v>122</v>
      </c>
      <c r="B47" s="22" t="s">
        <v>8</v>
      </c>
      <c r="C47" s="23">
        <v>57355450</v>
      </c>
      <c r="D47" s="24">
        <v>1.5</v>
      </c>
      <c r="E47" s="23">
        <v>86033</v>
      </c>
      <c r="F47" s="33">
        <f t="shared" si="3"/>
        <v>86033.175000000003</v>
      </c>
      <c r="G47" s="24">
        <v>0</v>
      </c>
      <c r="H47" s="23">
        <v>0</v>
      </c>
      <c r="I47" s="24">
        <v>0</v>
      </c>
      <c r="J47" s="23">
        <v>0</v>
      </c>
      <c r="K47" s="24">
        <f t="shared" si="1"/>
        <v>1.5</v>
      </c>
      <c r="L47" s="23">
        <f t="shared" si="2"/>
        <v>86033</v>
      </c>
    </row>
    <row r="48" spans="1:12" s="22" customFormat="1" ht="14.25" customHeight="1" x14ac:dyDescent="0.25">
      <c r="A48" s="22" t="s">
        <v>85</v>
      </c>
      <c r="B48" s="22" t="s">
        <v>84</v>
      </c>
      <c r="C48" s="23">
        <v>31467013</v>
      </c>
      <c r="D48" s="24">
        <v>5.508</v>
      </c>
      <c r="E48" s="23">
        <v>173320</v>
      </c>
      <c r="F48" s="33">
        <f t="shared" si="3"/>
        <v>173320.307604</v>
      </c>
      <c r="G48" s="24">
        <v>0</v>
      </c>
      <c r="H48" s="23">
        <v>0</v>
      </c>
      <c r="I48" s="24">
        <v>0</v>
      </c>
      <c r="J48" s="23">
        <v>0</v>
      </c>
      <c r="K48" s="24">
        <f t="shared" si="1"/>
        <v>5.508</v>
      </c>
      <c r="L48" s="23">
        <f t="shared" si="2"/>
        <v>173320</v>
      </c>
    </row>
    <row r="49" spans="1:12" s="22" customFormat="1" x14ac:dyDescent="0.25">
      <c r="A49" s="22" t="s">
        <v>81</v>
      </c>
      <c r="B49" s="22" t="s">
        <v>82</v>
      </c>
      <c r="C49" s="23">
        <v>7080595440</v>
      </c>
      <c r="D49" s="24">
        <f>3.86-0.071</f>
        <v>3.7889999999999997</v>
      </c>
      <c r="E49" s="23">
        <f>27331098-502722</f>
        <v>26828376</v>
      </c>
      <c r="F49" s="33">
        <f t="shared" si="3"/>
        <v>26828376.122159999</v>
      </c>
      <c r="G49" s="24">
        <v>0</v>
      </c>
      <c r="H49" s="23">
        <v>0</v>
      </c>
      <c r="I49" s="24">
        <v>2.3E-2</v>
      </c>
      <c r="J49" s="23">
        <v>162854</v>
      </c>
      <c r="K49" s="24">
        <f t="shared" si="1"/>
        <v>3.8119999999999998</v>
      </c>
      <c r="L49" s="23">
        <f t="shared" si="2"/>
        <v>26991230</v>
      </c>
    </row>
    <row r="50" spans="1:12" s="22" customFormat="1" x14ac:dyDescent="0.25">
      <c r="A50" s="22" t="s">
        <v>105</v>
      </c>
      <c r="B50" s="22" t="s">
        <v>104</v>
      </c>
      <c r="C50" s="23">
        <v>216263410</v>
      </c>
      <c r="D50" s="24">
        <v>2.5</v>
      </c>
      <c r="E50" s="23">
        <v>540659</v>
      </c>
      <c r="F50" s="33">
        <f t="shared" si="3"/>
        <v>540658.52500000002</v>
      </c>
      <c r="G50" s="24">
        <v>0</v>
      </c>
      <c r="H50" s="23">
        <v>0</v>
      </c>
      <c r="I50" s="24">
        <v>0</v>
      </c>
      <c r="J50" s="23">
        <v>0</v>
      </c>
      <c r="K50" s="24">
        <f t="shared" si="1"/>
        <v>2.5</v>
      </c>
      <c r="L50" s="23">
        <f t="shared" si="2"/>
        <v>540659</v>
      </c>
    </row>
    <row r="51" spans="1:12" s="22" customFormat="1" x14ac:dyDescent="0.25">
      <c r="A51" s="22" t="s">
        <v>11</v>
      </c>
      <c r="B51" s="22" t="s">
        <v>10</v>
      </c>
      <c r="C51" s="23">
        <v>2932711910</v>
      </c>
      <c r="D51" s="24">
        <f>1.625-0.24</f>
        <v>1.385</v>
      </c>
      <c r="E51" s="23">
        <f>4765657-703851</f>
        <v>4061806</v>
      </c>
      <c r="F51" s="33">
        <f t="shared" si="3"/>
        <v>4061805.99535</v>
      </c>
      <c r="G51" s="24">
        <v>0</v>
      </c>
      <c r="H51" s="23">
        <v>0</v>
      </c>
      <c r="I51" s="24">
        <v>6.0000000000000001E-3</v>
      </c>
      <c r="J51" s="23">
        <v>17596</v>
      </c>
      <c r="K51" s="24">
        <f t="shared" si="1"/>
        <v>1.391</v>
      </c>
      <c r="L51" s="23">
        <f t="shared" si="2"/>
        <v>4079402</v>
      </c>
    </row>
    <row r="52" spans="1:12" s="22" customFormat="1" x14ac:dyDescent="0.25">
      <c r="A52" s="22" t="s">
        <v>35</v>
      </c>
      <c r="B52" s="22" t="s">
        <v>107</v>
      </c>
      <c r="C52" s="23">
        <v>3364883052</v>
      </c>
      <c r="D52" s="24">
        <v>3</v>
      </c>
      <c r="E52" s="23">
        <v>10094649</v>
      </c>
      <c r="F52" s="33">
        <f t="shared" si="3"/>
        <v>10094649.155999999</v>
      </c>
      <c r="G52" s="24">
        <v>0</v>
      </c>
      <c r="H52" s="23">
        <v>0</v>
      </c>
      <c r="I52" s="24">
        <v>0</v>
      </c>
      <c r="J52" s="23">
        <v>0</v>
      </c>
      <c r="K52" s="24">
        <f t="shared" si="1"/>
        <v>3</v>
      </c>
      <c r="L52" s="23">
        <f t="shared" si="2"/>
        <v>10094649</v>
      </c>
    </row>
    <row r="53" spans="1:12" s="22" customFormat="1" x14ac:dyDescent="0.25">
      <c r="A53" s="22" t="s">
        <v>12</v>
      </c>
      <c r="B53" s="22" t="s">
        <v>13</v>
      </c>
      <c r="C53" s="23">
        <v>132427761</v>
      </c>
      <c r="D53" s="24">
        <v>0</v>
      </c>
      <c r="E53" s="23">
        <v>0</v>
      </c>
      <c r="F53" s="33">
        <f t="shared" si="3"/>
        <v>0</v>
      </c>
      <c r="G53" s="24">
        <v>0</v>
      </c>
      <c r="H53" s="23">
        <v>0</v>
      </c>
      <c r="I53" s="24">
        <v>0</v>
      </c>
      <c r="J53" s="23">
        <v>0</v>
      </c>
      <c r="K53" s="24">
        <f t="shared" si="1"/>
        <v>0</v>
      </c>
      <c r="L53" s="23">
        <f t="shared" si="2"/>
        <v>0</v>
      </c>
    </row>
    <row r="54" spans="1:12" s="22" customFormat="1" x14ac:dyDescent="0.25">
      <c r="A54" s="22" t="s">
        <v>14</v>
      </c>
      <c r="B54" s="22" t="s">
        <v>15</v>
      </c>
      <c r="C54" s="23">
        <v>1760979468</v>
      </c>
      <c r="D54" s="24">
        <v>5.25</v>
      </c>
      <c r="E54" s="23">
        <v>9245142</v>
      </c>
      <c r="F54" s="33">
        <f t="shared" si="3"/>
        <v>9245142.2070000004</v>
      </c>
      <c r="G54" s="24">
        <v>0</v>
      </c>
      <c r="H54" s="23">
        <v>0</v>
      </c>
      <c r="I54" s="24">
        <v>3.7999999999999999E-2</v>
      </c>
      <c r="J54" s="23">
        <v>66917</v>
      </c>
      <c r="K54" s="24">
        <f t="shared" si="1"/>
        <v>5.2880000000000003</v>
      </c>
      <c r="L54" s="23">
        <f t="shared" si="2"/>
        <v>9312059</v>
      </c>
    </row>
    <row r="55" spans="1:12" s="22" customFormat="1" x14ac:dyDescent="0.25">
      <c r="A55" s="22" t="s">
        <v>28</v>
      </c>
      <c r="B55" s="22" t="s">
        <v>29</v>
      </c>
      <c r="C55" s="23">
        <v>255158180</v>
      </c>
      <c r="D55" s="24">
        <v>4.1189999999999998</v>
      </c>
      <c r="E55" s="23">
        <v>1050997</v>
      </c>
      <c r="F55" s="33">
        <f>((D55/1000)*C55)</f>
        <v>1050996.5434199998</v>
      </c>
      <c r="G55" s="24">
        <v>1.1000000000000001</v>
      </c>
      <c r="H55" s="23">
        <v>280674</v>
      </c>
      <c r="I55" s="24">
        <v>8.9999999999999993E-3</v>
      </c>
      <c r="J55" s="23">
        <v>2296</v>
      </c>
      <c r="K55" s="24">
        <f t="shared" si="1"/>
        <v>5.2279999999999998</v>
      </c>
      <c r="L55" s="23">
        <f t="shared" si="2"/>
        <v>1333967</v>
      </c>
    </row>
    <row r="56" spans="1:12" s="22" customFormat="1" x14ac:dyDescent="0.25">
      <c r="A56" s="22" t="s">
        <v>18</v>
      </c>
      <c r="B56" s="22" t="s">
        <v>17</v>
      </c>
      <c r="C56" s="23">
        <v>237600110</v>
      </c>
      <c r="D56" s="24">
        <v>0.5</v>
      </c>
      <c r="E56" s="23">
        <v>118800</v>
      </c>
      <c r="F56" s="33">
        <f t="shared" si="3"/>
        <v>118800.05500000001</v>
      </c>
      <c r="G56" s="24">
        <v>0</v>
      </c>
      <c r="H56" s="23">
        <v>0</v>
      </c>
      <c r="I56" s="24">
        <v>0</v>
      </c>
      <c r="J56" s="23">
        <v>0</v>
      </c>
      <c r="K56" s="24">
        <f t="shared" si="1"/>
        <v>0.5</v>
      </c>
      <c r="L56" s="23">
        <f t="shared" si="2"/>
        <v>118800</v>
      </c>
    </row>
    <row r="57" spans="1:12" s="22" customFormat="1" x14ac:dyDescent="0.25">
      <c r="A57" s="22" t="s">
        <v>50</v>
      </c>
      <c r="B57" s="22" t="s">
        <v>49</v>
      </c>
      <c r="C57" s="23">
        <v>4747065180</v>
      </c>
      <c r="D57" s="24">
        <v>3.6589999999999998</v>
      </c>
      <c r="E57" s="23">
        <v>17369511</v>
      </c>
      <c r="F57" s="33">
        <f t="shared" si="3"/>
        <v>17369511.493620001</v>
      </c>
      <c r="G57" s="24">
        <v>0</v>
      </c>
      <c r="H57" s="23">
        <v>0</v>
      </c>
      <c r="I57" s="24">
        <v>0.01</v>
      </c>
      <c r="J57" s="23">
        <v>47471</v>
      </c>
      <c r="K57" s="24">
        <f t="shared" si="1"/>
        <v>3.6689999999999996</v>
      </c>
      <c r="L57" s="23">
        <f t="shared" si="2"/>
        <v>17416982</v>
      </c>
    </row>
    <row r="58" spans="1:12" s="22" customFormat="1" x14ac:dyDescent="0.25">
      <c r="A58" s="22" t="s">
        <v>109</v>
      </c>
      <c r="B58" s="22" t="s">
        <v>107</v>
      </c>
      <c r="C58" s="23">
        <v>57201734</v>
      </c>
      <c r="D58" s="24">
        <v>4.75</v>
      </c>
      <c r="E58" s="23">
        <v>271708</v>
      </c>
      <c r="F58" s="33">
        <f t="shared" si="3"/>
        <v>271708.2365</v>
      </c>
      <c r="G58" s="24">
        <v>0</v>
      </c>
      <c r="H58" s="23">
        <v>0</v>
      </c>
      <c r="I58" s="24">
        <v>0</v>
      </c>
      <c r="J58" s="23">
        <v>0</v>
      </c>
      <c r="K58" s="24">
        <f t="shared" si="1"/>
        <v>4.75</v>
      </c>
      <c r="L58" s="23">
        <f t="shared" si="2"/>
        <v>271708</v>
      </c>
    </row>
    <row r="59" spans="1:12" s="22" customFormat="1" x14ac:dyDescent="0.25">
      <c r="A59" s="22" t="s">
        <v>9</v>
      </c>
      <c r="B59" s="22" t="s">
        <v>8</v>
      </c>
      <c r="C59" s="23">
        <v>94392760</v>
      </c>
      <c r="D59" s="24">
        <v>2.8</v>
      </c>
      <c r="E59" s="23">
        <v>264300</v>
      </c>
      <c r="F59" s="33">
        <f t="shared" si="3"/>
        <v>264299.728</v>
      </c>
      <c r="G59" s="24">
        <v>0.19400000000000001</v>
      </c>
      <c r="H59" s="23">
        <v>18312</v>
      </c>
      <c r="I59" s="24">
        <f>0.004+0.02</f>
        <v>2.4E-2</v>
      </c>
      <c r="J59" s="23">
        <f>378+1888</f>
        <v>2266</v>
      </c>
      <c r="K59" s="24">
        <f t="shared" si="1"/>
        <v>3.0179999999999998</v>
      </c>
      <c r="L59" s="23">
        <f t="shared" si="2"/>
        <v>284878</v>
      </c>
    </row>
    <row r="60" spans="1:12" s="22" customFormat="1" x14ac:dyDescent="0.25">
      <c r="A60" s="22" t="s">
        <v>19</v>
      </c>
      <c r="B60" s="22" t="s">
        <v>20</v>
      </c>
      <c r="C60" s="23">
        <v>185619889</v>
      </c>
      <c r="D60" s="24">
        <v>1.5</v>
      </c>
      <c r="E60" s="23">
        <v>278430</v>
      </c>
      <c r="F60" s="33">
        <f t="shared" si="3"/>
        <v>278429.83350000001</v>
      </c>
      <c r="G60" s="24">
        <v>0</v>
      </c>
      <c r="H60" s="23">
        <v>0</v>
      </c>
      <c r="I60" s="24">
        <v>0</v>
      </c>
      <c r="J60" s="23">
        <v>0</v>
      </c>
      <c r="K60" s="24">
        <f t="shared" si="1"/>
        <v>1.5</v>
      </c>
      <c r="L60" s="23">
        <f t="shared" si="2"/>
        <v>278430</v>
      </c>
    </row>
    <row r="61" spans="1:12" s="22" customFormat="1" x14ac:dyDescent="0.25">
      <c r="A61" s="22" t="s">
        <v>61</v>
      </c>
      <c r="B61" s="22" t="s">
        <v>60</v>
      </c>
      <c r="C61" s="23">
        <v>222598900</v>
      </c>
      <c r="D61" s="24">
        <v>3.5</v>
      </c>
      <c r="E61" s="23">
        <v>779096</v>
      </c>
      <c r="F61" s="33">
        <f t="shared" si="3"/>
        <v>779096.15</v>
      </c>
      <c r="G61" s="24">
        <v>0</v>
      </c>
      <c r="H61" s="23">
        <v>0</v>
      </c>
      <c r="I61" s="24">
        <v>3.0000000000000001E-3</v>
      </c>
      <c r="J61" s="23">
        <v>668</v>
      </c>
      <c r="K61" s="24">
        <f t="shared" si="1"/>
        <v>3.5030000000000001</v>
      </c>
      <c r="L61" s="23">
        <f t="shared" si="2"/>
        <v>779764</v>
      </c>
    </row>
    <row r="62" spans="1:12" s="22" customFormat="1" x14ac:dyDescent="0.25">
      <c r="A62" s="22" t="s">
        <v>30</v>
      </c>
      <c r="B62" s="22" t="s">
        <v>29</v>
      </c>
      <c r="C62" s="23">
        <v>281283320</v>
      </c>
      <c r="D62" s="24">
        <f>0.573-0.053</f>
        <v>0.51999999999999991</v>
      </c>
      <c r="E62" s="23">
        <f>161175-14908</f>
        <v>146267</v>
      </c>
      <c r="F62" s="33">
        <f t="shared" si="3"/>
        <v>146267.32639999999</v>
      </c>
      <c r="G62" s="24">
        <v>0</v>
      </c>
      <c r="H62" s="23">
        <v>0</v>
      </c>
      <c r="I62" s="24">
        <v>0</v>
      </c>
      <c r="J62" s="23">
        <v>0</v>
      </c>
      <c r="K62" s="24">
        <f t="shared" si="1"/>
        <v>0.51999999999999991</v>
      </c>
      <c r="L62" s="23">
        <f t="shared" si="2"/>
        <v>146267</v>
      </c>
    </row>
    <row r="63" spans="1:12" s="22" customFormat="1" x14ac:dyDescent="0.25">
      <c r="A63" s="22" t="s">
        <v>114</v>
      </c>
      <c r="B63" s="22" t="s">
        <v>25</v>
      </c>
      <c r="C63" s="23">
        <v>784327990</v>
      </c>
      <c r="D63" s="24">
        <v>2.8</v>
      </c>
      <c r="E63" s="23">
        <v>2196118</v>
      </c>
      <c r="F63" s="33">
        <f t="shared" si="3"/>
        <v>2196118.372</v>
      </c>
      <c r="G63" s="24">
        <v>0</v>
      </c>
      <c r="H63" s="23">
        <v>0</v>
      </c>
      <c r="I63" s="24">
        <v>0.03</v>
      </c>
      <c r="J63" s="23">
        <v>23530</v>
      </c>
      <c r="K63" s="24">
        <f t="shared" si="1"/>
        <v>2.8299999999999996</v>
      </c>
      <c r="L63" s="23">
        <f t="shared" si="2"/>
        <v>2219648</v>
      </c>
    </row>
    <row r="64" spans="1:12" s="22" customFormat="1" x14ac:dyDescent="0.25">
      <c r="A64" s="22" t="s">
        <v>113</v>
      </c>
      <c r="B64" s="22" t="s">
        <v>25</v>
      </c>
      <c r="C64" s="23">
        <v>36802340</v>
      </c>
      <c r="D64" s="24">
        <v>10.428000000000001</v>
      </c>
      <c r="E64" s="23">
        <v>383775</v>
      </c>
      <c r="F64" s="33">
        <f t="shared" si="3"/>
        <v>383774.80152000004</v>
      </c>
      <c r="G64" s="24">
        <v>0</v>
      </c>
      <c r="H64" s="23">
        <v>0</v>
      </c>
      <c r="I64" s="24">
        <v>0</v>
      </c>
      <c r="J64" s="23">
        <v>0</v>
      </c>
      <c r="K64" s="24">
        <f t="shared" si="1"/>
        <v>10.428000000000001</v>
      </c>
      <c r="L64" s="23">
        <f t="shared" si="2"/>
        <v>383775</v>
      </c>
    </row>
    <row r="65" spans="1:12" s="22" customFormat="1" x14ac:dyDescent="0.25">
      <c r="A65" s="22" t="s">
        <v>23</v>
      </c>
      <c r="B65" s="22" t="s">
        <v>22</v>
      </c>
      <c r="C65" s="23">
        <v>85643010</v>
      </c>
      <c r="D65" s="24">
        <v>1.147</v>
      </c>
      <c r="E65" s="23">
        <v>98233</v>
      </c>
      <c r="F65" s="33">
        <f>((D65/1000)*C65)</f>
        <v>98232.532470000006</v>
      </c>
      <c r="G65" s="24">
        <v>0</v>
      </c>
      <c r="H65" s="23">
        <v>0</v>
      </c>
      <c r="I65" s="24">
        <v>0</v>
      </c>
      <c r="J65" s="23">
        <v>0</v>
      </c>
      <c r="K65" s="24">
        <f t="shared" si="1"/>
        <v>1.147</v>
      </c>
      <c r="L65" s="23">
        <f t="shared" si="2"/>
        <v>98233</v>
      </c>
    </row>
    <row r="66" spans="1:12" s="22" customFormat="1" x14ac:dyDescent="0.25">
      <c r="A66" s="22" t="s">
        <v>97</v>
      </c>
      <c r="B66" s="22" t="s">
        <v>96</v>
      </c>
      <c r="C66" s="23">
        <v>85939405</v>
      </c>
      <c r="D66" s="24">
        <v>2.08</v>
      </c>
      <c r="E66" s="23">
        <v>178754</v>
      </c>
      <c r="F66" s="33">
        <f t="shared" si="3"/>
        <v>178753.96240000002</v>
      </c>
      <c r="G66" s="24">
        <v>1.861</v>
      </c>
      <c r="H66" s="23">
        <v>159933</v>
      </c>
      <c r="I66" s="24">
        <v>0.216</v>
      </c>
      <c r="J66" s="23">
        <v>18563</v>
      </c>
      <c r="K66" s="24">
        <f t="shared" si="1"/>
        <v>4.157</v>
      </c>
      <c r="L66" s="23">
        <f t="shared" si="2"/>
        <v>357250</v>
      </c>
    </row>
    <row r="67" spans="1:12" s="22" customFormat="1" x14ac:dyDescent="0.25">
      <c r="A67" s="22" t="s">
        <v>26</v>
      </c>
      <c r="B67" s="22" t="s">
        <v>27</v>
      </c>
      <c r="C67" s="23">
        <v>1871102700</v>
      </c>
      <c r="D67" s="24">
        <v>0.83</v>
      </c>
      <c r="E67" s="23">
        <v>1553015</v>
      </c>
      <c r="F67" s="33">
        <f t="shared" si="3"/>
        <v>1553015.2409999999</v>
      </c>
      <c r="G67" s="24">
        <v>0</v>
      </c>
      <c r="H67" s="23">
        <v>0</v>
      </c>
      <c r="I67" s="24">
        <v>0</v>
      </c>
      <c r="J67" s="23">
        <v>0</v>
      </c>
      <c r="K67" s="24">
        <f t="shared" si="1"/>
        <v>0.83</v>
      </c>
      <c r="L67" s="23">
        <f t="shared" si="2"/>
        <v>1553015</v>
      </c>
    </row>
    <row r="68" spans="1:12" s="22" customFormat="1" x14ac:dyDescent="0.25">
      <c r="A68" s="22" t="s">
        <v>52</v>
      </c>
      <c r="B68" s="22" t="s">
        <v>53</v>
      </c>
      <c r="C68" s="23">
        <v>308398666</v>
      </c>
      <c r="D68" s="24">
        <v>1.5</v>
      </c>
      <c r="E68" s="23">
        <v>462598</v>
      </c>
      <c r="F68" s="33">
        <f t="shared" si="3"/>
        <v>462597.99900000001</v>
      </c>
      <c r="G68" s="24">
        <v>0</v>
      </c>
      <c r="H68" s="23">
        <v>0</v>
      </c>
      <c r="I68" s="24">
        <v>2E-3</v>
      </c>
      <c r="J68" s="23">
        <v>617</v>
      </c>
      <c r="K68" s="24">
        <f t="shared" si="1"/>
        <v>1.502</v>
      </c>
      <c r="L68" s="23">
        <f t="shared" si="2"/>
        <v>463215</v>
      </c>
    </row>
    <row r="69" spans="1:12" s="22" customFormat="1" x14ac:dyDescent="0.25">
      <c r="A69" s="22" t="s">
        <v>69</v>
      </c>
      <c r="B69" s="22" t="s">
        <v>70</v>
      </c>
      <c r="C69" s="23">
        <v>92364690</v>
      </c>
      <c r="D69" s="24">
        <v>1.9830000000000001</v>
      </c>
      <c r="E69" s="23">
        <v>183159</v>
      </c>
      <c r="F69" s="33">
        <f t="shared" si="3"/>
        <v>183159.18026999998</v>
      </c>
      <c r="G69" s="24">
        <v>0</v>
      </c>
      <c r="H69" s="23">
        <v>0</v>
      </c>
      <c r="I69" s="24">
        <v>0</v>
      </c>
      <c r="J69" s="23">
        <v>0</v>
      </c>
      <c r="K69" s="24">
        <f t="shared" si="1"/>
        <v>1.9830000000000001</v>
      </c>
      <c r="L69" s="23">
        <f t="shared" si="2"/>
        <v>183159</v>
      </c>
    </row>
    <row r="70" spans="1:12" s="22" customFormat="1" x14ac:dyDescent="0.25">
      <c r="A70" s="22" t="s">
        <v>24</v>
      </c>
      <c r="B70" s="22" t="s">
        <v>22</v>
      </c>
      <c r="C70" s="23">
        <v>114902130</v>
      </c>
      <c r="D70" s="24">
        <v>1.7110000000000001</v>
      </c>
      <c r="E70" s="23">
        <v>196598</v>
      </c>
      <c r="F70" s="33">
        <f t="shared" si="3"/>
        <v>196597.54443000001</v>
      </c>
      <c r="G70" s="24">
        <v>0.49399999999999999</v>
      </c>
      <c r="H70" s="23">
        <v>56762</v>
      </c>
      <c r="I70" s="24">
        <v>0</v>
      </c>
      <c r="J70" s="23">
        <v>0</v>
      </c>
      <c r="K70" s="24">
        <f t="shared" si="1"/>
        <v>2.2050000000000001</v>
      </c>
      <c r="L70" s="23">
        <f t="shared" si="2"/>
        <v>253360</v>
      </c>
    </row>
    <row r="71" spans="1:12" x14ac:dyDescent="0.25">
      <c r="C71"/>
      <c r="D71"/>
      <c r="E71"/>
      <c r="F71" s="27"/>
      <c r="G71"/>
      <c r="H71"/>
      <c r="I71"/>
      <c r="J71"/>
      <c r="K71"/>
      <c r="L71"/>
    </row>
    <row r="72" spans="1:12" x14ac:dyDescent="0.25">
      <c r="C72"/>
      <c r="D72"/>
      <c r="E72"/>
      <c r="F72" s="27"/>
      <c r="G72"/>
      <c r="H72"/>
      <c r="I72"/>
      <c r="J72"/>
      <c r="K72"/>
      <c r="L72"/>
    </row>
    <row r="73" spans="1:12" x14ac:dyDescent="0.25">
      <c r="C73"/>
      <c r="D73"/>
      <c r="E73"/>
      <c r="F73" s="27"/>
      <c r="G73"/>
      <c r="H73"/>
      <c r="I73"/>
      <c r="J73"/>
      <c r="K73"/>
      <c r="L73"/>
    </row>
    <row r="74" spans="1:12" x14ac:dyDescent="0.25">
      <c r="C74"/>
      <c r="D74"/>
      <c r="E74"/>
      <c r="F74" s="27"/>
      <c r="G74"/>
      <c r="H74"/>
      <c r="I74"/>
      <c r="J74"/>
      <c r="K74"/>
      <c r="L74"/>
    </row>
    <row r="75" spans="1:12" x14ac:dyDescent="0.25">
      <c r="A75" t="s">
        <v>115</v>
      </c>
      <c r="C75" s="8"/>
      <c r="D75" s="12"/>
      <c r="E75" s="13"/>
      <c r="F75" s="31"/>
      <c r="H75" s="8"/>
      <c r="J75" s="8"/>
      <c r="L75" s="11"/>
    </row>
    <row r="76" spans="1:12" x14ac:dyDescent="0.25">
      <c r="C76" s="2"/>
      <c r="E76" s="20"/>
      <c r="F76" s="32"/>
    </row>
    <row r="77" spans="1:12" x14ac:dyDescent="0.25">
      <c r="B77" s="21"/>
      <c r="C77" s="8"/>
      <c r="E77" s="20"/>
      <c r="F77" s="32"/>
    </row>
    <row r="78" spans="1:12" x14ac:dyDescent="0.25">
      <c r="E78" s="20"/>
      <c r="F78" s="32"/>
    </row>
    <row r="79" spans="1:12" x14ac:dyDescent="0.25">
      <c r="A79" s="1"/>
      <c r="B79" s="2"/>
      <c r="E79" s="20"/>
      <c r="F79" s="32"/>
    </row>
    <row r="80" spans="1:12" x14ac:dyDescent="0.25">
      <c r="E80" s="20"/>
      <c r="F80" s="32"/>
    </row>
  </sheetData>
  <mergeCells count="6">
    <mergeCell ref="K3:L3"/>
    <mergeCell ref="D5:E5"/>
    <mergeCell ref="A1:C1"/>
    <mergeCell ref="D3:E3"/>
    <mergeCell ref="G3:H3"/>
    <mergeCell ref="I3:J3"/>
  </mergeCells>
  <conditionalFormatting sqref="A6:XFD70">
    <cfRule type="expression" dxfId="3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0"/>
  <sheetViews>
    <sheetView topLeftCell="A33" zoomScaleNormal="100" workbookViewId="0">
      <selection activeCell="A6" sqref="A6:XFD71"/>
    </sheetView>
  </sheetViews>
  <sheetFormatPr defaultColWidth="8.7109375" defaultRowHeight="15" x14ac:dyDescent="0.25"/>
  <cols>
    <col min="1" max="1" width="66.28515625" customWidth="1"/>
    <col min="2" max="2" width="12.42578125" customWidth="1"/>
    <col min="3" max="3" width="26.28515625" style="7" customWidth="1"/>
    <col min="4" max="4" width="14.28515625" style="1" customWidth="1"/>
    <col min="5" max="5" width="19.42578125" style="7" customWidth="1"/>
    <col min="6" max="6" width="19.42578125" style="26" customWidth="1"/>
    <col min="7" max="7" width="25.7109375" style="1" customWidth="1"/>
    <col min="8" max="8" width="24.28515625" style="7" customWidth="1"/>
    <col min="9" max="9" width="12.28515625" style="1" customWidth="1"/>
    <col min="10" max="10" width="20.42578125" style="7" customWidth="1"/>
    <col min="11" max="11" width="13" style="1" customWidth="1"/>
    <col min="12" max="12" width="15.28515625" style="10" bestFit="1" customWidth="1"/>
  </cols>
  <sheetData>
    <row r="1" spans="1:12" ht="16.5" thickBot="1" x14ac:dyDescent="0.3">
      <c r="A1" s="85" t="s">
        <v>123</v>
      </c>
      <c r="B1" s="86"/>
      <c r="C1" s="87"/>
    </row>
    <row r="2" spans="1:12" x14ac:dyDescent="0.25">
      <c r="C2"/>
      <c r="D2"/>
      <c r="E2"/>
      <c r="F2" s="27"/>
      <c r="G2"/>
      <c r="H2"/>
      <c r="I2"/>
      <c r="J2"/>
      <c r="K2"/>
      <c r="L2"/>
    </row>
    <row r="3" spans="1:12" x14ac:dyDescent="0.25">
      <c r="A3" s="14"/>
      <c r="C3" s="5"/>
      <c r="D3" s="90" t="s">
        <v>32</v>
      </c>
      <c r="E3" s="90"/>
      <c r="F3" s="28"/>
      <c r="G3" s="90" t="s">
        <v>62</v>
      </c>
      <c r="H3" s="90"/>
      <c r="I3" s="90" t="s">
        <v>46</v>
      </c>
      <c r="J3" s="90"/>
      <c r="K3" s="88" t="s">
        <v>47</v>
      </c>
      <c r="L3" s="88"/>
    </row>
    <row r="4" spans="1:12" x14ac:dyDescent="0.25">
      <c r="A4" s="4" t="s">
        <v>34</v>
      </c>
      <c r="B4" s="4" t="s">
        <v>48</v>
      </c>
      <c r="C4" s="6" t="s">
        <v>43</v>
      </c>
      <c r="D4" s="3" t="s">
        <v>44</v>
      </c>
      <c r="E4" s="6" t="s">
        <v>45</v>
      </c>
      <c r="F4" s="29"/>
      <c r="G4" s="3" t="s">
        <v>44</v>
      </c>
      <c r="H4" s="6" t="s">
        <v>45</v>
      </c>
      <c r="I4" s="3" t="s">
        <v>44</v>
      </c>
      <c r="J4" s="6" t="s">
        <v>45</v>
      </c>
      <c r="K4" s="3" t="s">
        <v>44</v>
      </c>
      <c r="L4" s="9" t="s">
        <v>45</v>
      </c>
    </row>
    <row r="5" spans="1:12" ht="15.75" thickBot="1" x14ac:dyDescent="0.3">
      <c r="A5" s="15"/>
      <c r="B5" s="15"/>
      <c r="C5" s="16"/>
      <c r="D5" s="89" t="s">
        <v>33</v>
      </c>
      <c r="E5" s="89"/>
      <c r="F5" s="30" t="s">
        <v>121</v>
      </c>
      <c r="G5" s="17"/>
      <c r="H5" s="17"/>
      <c r="I5" s="17"/>
      <c r="J5" s="17"/>
      <c r="K5" s="18"/>
      <c r="L5" s="17"/>
    </row>
    <row r="6" spans="1:12" s="22" customFormat="1" x14ac:dyDescent="0.25">
      <c r="A6" s="22" t="s">
        <v>42</v>
      </c>
      <c r="B6" s="22" t="s">
        <v>49</v>
      </c>
      <c r="C6" s="23">
        <v>3933380</v>
      </c>
      <c r="D6" s="24">
        <v>5.8129999999999997</v>
      </c>
      <c r="E6" s="23">
        <v>22865</v>
      </c>
      <c r="F6" s="33">
        <f t="shared" ref="F6:F40" si="0">((D6/1000)*C6)</f>
        <v>22864.737939999999</v>
      </c>
      <c r="G6" s="24">
        <v>0</v>
      </c>
      <c r="H6" s="23">
        <v>0</v>
      </c>
      <c r="I6" s="24">
        <v>3.2000000000000001E-2</v>
      </c>
      <c r="J6" s="23">
        <v>126</v>
      </c>
      <c r="K6" s="24">
        <f>D6+G6+I6</f>
        <v>5.8449999999999998</v>
      </c>
      <c r="L6" s="23">
        <f>E6+H6+J6</f>
        <v>22991</v>
      </c>
    </row>
    <row r="7" spans="1:12" s="22" customFormat="1" x14ac:dyDescent="0.25">
      <c r="A7" s="22" t="s">
        <v>42</v>
      </c>
      <c r="B7" s="22" t="s">
        <v>51</v>
      </c>
      <c r="C7" s="23">
        <v>5896235076</v>
      </c>
      <c r="D7" s="24">
        <v>5.8129999999999997</v>
      </c>
      <c r="E7" s="23">
        <v>34274814</v>
      </c>
      <c r="F7" s="33">
        <f t="shared" si="0"/>
        <v>34274814.496787995</v>
      </c>
      <c r="G7" s="24">
        <v>0</v>
      </c>
      <c r="H7" s="23">
        <v>0</v>
      </c>
      <c r="I7" s="24">
        <v>3.2000000000000001E-2</v>
      </c>
      <c r="J7" s="23">
        <v>188680</v>
      </c>
      <c r="K7" s="24">
        <f t="shared" ref="K7:L71" si="1">D7+G7+I7</f>
        <v>5.8449999999999998</v>
      </c>
      <c r="L7" s="23">
        <f t="shared" si="1"/>
        <v>34463494</v>
      </c>
    </row>
    <row r="8" spans="1:12" s="22" customFormat="1" x14ac:dyDescent="0.25">
      <c r="A8" s="22" t="s">
        <v>76</v>
      </c>
      <c r="B8" s="22" t="s">
        <v>77</v>
      </c>
      <c r="C8" s="23">
        <v>226613830</v>
      </c>
      <c r="D8" s="24">
        <v>2.61</v>
      </c>
      <c r="E8" s="23">
        <v>591462</v>
      </c>
      <c r="F8" s="33">
        <f t="shared" si="0"/>
        <v>591462.09629999998</v>
      </c>
      <c r="G8" s="24">
        <v>2.39</v>
      </c>
      <c r="H8" s="23">
        <v>541607</v>
      </c>
      <c r="I8" s="24">
        <f>0.883+0.007</f>
        <v>0.89</v>
      </c>
      <c r="J8" s="23">
        <f>200100+1586</f>
        <v>201686</v>
      </c>
      <c r="K8" s="24">
        <f t="shared" si="1"/>
        <v>5.89</v>
      </c>
      <c r="L8" s="23">
        <f t="shared" si="1"/>
        <v>1334755</v>
      </c>
    </row>
    <row r="9" spans="1:12" s="22" customFormat="1" x14ac:dyDescent="0.25">
      <c r="A9" s="22" t="s">
        <v>76</v>
      </c>
      <c r="B9" s="22" t="s">
        <v>10</v>
      </c>
      <c r="C9" s="23">
        <v>169933853</v>
      </c>
      <c r="D9" s="24">
        <v>2.61</v>
      </c>
      <c r="E9" s="23">
        <v>443527</v>
      </c>
      <c r="F9" s="33">
        <f t="shared" si="0"/>
        <v>443527.35632999998</v>
      </c>
      <c r="G9" s="24">
        <v>2.39</v>
      </c>
      <c r="H9" s="23">
        <v>406142</v>
      </c>
      <c r="I9" s="24">
        <f>0.883+0.007</f>
        <v>0.89</v>
      </c>
      <c r="J9" s="23">
        <f>150052+1190</f>
        <v>151242</v>
      </c>
      <c r="K9" s="24">
        <f t="shared" si="1"/>
        <v>5.89</v>
      </c>
      <c r="L9" s="23">
        <f t="shared" si="1"/>
        <v>1000911</v>
      </c>
    </row>
    <row r="10" spans="1:12" s="22" customFormat="1" x14ac:dyDescent="0.25">
      <c r="A10" s="22" t="s">
        <v>106</v>
      </c>
      <c r="B10" s="22" t="s">
        <v>107</v>
      </c>
      <c r="C10" s="23">
        <v>183225738</v>
      </c>
      <c r="D10" s="24">
        <v>2.4</v>
      </c>
      <c r="E10" s="23">
        <v>439742</v>
      </c>
      <c r="F10" s="33">
        <f t="shared" si="0"/>
        <v>439741.77119999996</v>
      </c>
      <c r="G10" s="24">
        <v>0</v>
      </c>
      <c r="H10" s="23">
        <v>0</v>
      </c>
      <c r="I10" s="24">
        <v>0</v>
      </c>
      <c r="J10" s="23">
        <v>0</v>
      </c>
      <c r="K10" s="24">
        <f t="shared" si="1"/>
        <v>2.4</v>
      </c>
      <c r="L10" s="23">
        <f t="shared" si="1"/>
        <v>439742</v>
      </c>
    </row>
    <row r="11" spans="1:12" s="22" customFormat="1" x14ac:dyDescent="0.25">
      <c r="A11" s="22" t="s">
        <v>65</v>
      </c>
      <c r="B11" s="22" t="s">
        <v>111</v>
      </c>
      <c r="C11" s="23">
        <v>395836760</v>
      </c>
      <c r="D11" s="24">
        <v>2</v>
      </c>
      <c r="E11" s="23">
        <v>791674</v>
      </c>
      <c r="F11" s="33">
        <f t="shared" si="0"/>
        <v>791673.52</v>
      </c>
      <c r="G11" s="24">
        <v>0</v>
      </c>
      <c r="H11" s="23">
        <v>0</v>
      </c>
      <c r="I11" s="24">
        <v>0</v>
      </c>
      <c r="J11" s="23">
        <v>0</v>
      </c>
      <c r="K11" s="24">
        <f t="shared" si="1"/>
        <v>2</v>
      </c>
      <c r="L11" s="23">
        <f t="shared" si="1"/>
        <v>791674</v>
      </c>
    </row>
    <row r="12" spans="1:12" s="22" customFormat="1" x14ac:dyDescent="0.25">
      <c r="A12" s="22" t="s">
        <v>36</v>
      </c>
      <c r="B12" s="22" t="s">
        <v>31</v>
      </c>
      <c r="C12" s="23">
        <v>988148130</v>
      </c>
      <c r="D12" s="24">
        <v>3.5459999999999998</v>
      </c>
      <c r="E12" s="23">
        <v>3503973</v>
      </c>
      <c r="F12" s="33">
        <f t="shared" si="0"/>
        <v>3503973.2689799997</v>
      </c>
      <c r="G12" s="24">
        <v>0</v>
      </c>
      <c r="H12" s="23">
        <v>0</v>
      </c>
      <c r="I12" s="24">
        <v>8.9999999999999993E-3</v>
      </c>
      <c r="J12" s="23">
        <v>8893</v>
      </c>
      <c r="K12" s="24">
        <f t="shared" si="1"/>
        <v>3.5549999999999997</v>
      </c>
      <c r="L12" s="23">
        <f t="shared" si="1"/>
        <v>3512866</v>
      </c>
    </row>
    <row r="13" spans="1:12" s="22" customFormat="1" x14ac:dyDescent="0.25">
      <c r="A13" s="22" t="s">
        <v>66</v>
      </c>
      <c r="B13" s="22" t="s">
        <v>37</v>
      </c>
      <c r="C13" s="23">
        <v>69871537</v>
      </c>
      <c r="D13" s="24">
        <v>2</v>
      </c>
      <c r="E13" s="23">
        <v>139743</v>
      </c>
      <c r="F13" s="33">
        <f t="shared" si="0"/>
        <v>139743.07399999999</v>
      </c>
      <c r="G13" s="24">
        <v>0</v>
      </c>
      <c r="H13" s="23">
        <v>0</v>
      </c>
      <c r="I13" s="24">
        <v>8.0000000000000002E-3</v>
      </c>
      <c r="J13" s="23">
        <v>559</v>
      </c>
      <c r="K13" s="24">
        <f t="shared" si="1"/>
        <v>2.008</v>
      </c>
      <c r="L13" s="23">
        <f t="shared" si="1"/>
        <v>140302</v>
      </c>
    </row>
    <row r="14" spans="1:12" s="22" customFormat="1" x14ac:dyDescent="0.25">
      <c r="A14" s="22" t="s">
        <v>67</v>
      </c>
      <c r="B14" s="22" t="s">
        <v>68</v>
      </c>
      <c r="C14" s="23">
        <v>131971765</v>
      </c>
      <c r="D14" s="24">
        <v>0.5</v>
      </c>
      <c r="E14" s="23">
        <v>65986</v>
      </c>
      <c r="F14" s="33">
        <f t="shared" si="0"/>
        <v>65985.882500000007</v>
      </c>
      <c r="G14" s="24">
        <v>0</v>
      </c>
      <c r="H14" s="23">
        <v>0</v>
      </c>
      <c r="I14" s="24">
        <v>0</v>
      </c>
      <c r="J14" s="23">
        <v>0</v>
      </c>
      <c r="K14" s="24">
        <f t="shared" si="1"/>
        <v>0.5</v>
      </c>
      <c r="L14" s="23">
        <f t="shared" si="1"/>
        <v>65986</v>
      </c>
    </row>
    <row r="15" spans="1:12" s="22" customFormat="1" x14ac:dyDescent="0.25">
      <c r="A15" s="22" t="s">
        <v>71</v>
      </c>
      <c r="B15" s="22" t="s">
        <v>38</v>
      </c>
      <c r="C15" s="23">
        <v>293036245</v>
      </c>
      <c r="D15" s="24">
        <v>3</v>
      </c>
      <c r="E15" s="23">
        <v>879109</v>
      </c>
      <c r="F15" s="33">
        <f t="shared" si="0"/>
        <v>879108.73499999999</v>
      </c>
      <c r="G15" s="24">
        <v>0</v>
      </c>
      <c r="H15" s="23">
        <v>0</v>
      </c>
      <c r="I15" s="24">
        <v>0</v>
      </c>
      <c r="J15" s="23">
        <v>0</v>
      </c>
      <c r="K15" s="24">
        <f t="shared" si="1"/>
        <v>3</v>
      </c>
      <c r="L15" s="23">
        <f t="shared" si="1"/>
        <v>879109</v>
      </c>
    </row>
    <row r="16" spans="1:12" s="22" customFormat="1" x14ac:dyDescent="0.25">
      <c r="A16" s="22" t="s">
        <v>71</v>
      </c>
      <c r="B16" s="22" t="s">
        <v>4</v>
      </c>
      <c r="C16" s="23">
        <v>4682840</v>
      </c>
      <c r="D16" s="24">
        <v>3</v>
      </c>
      <c r="E16" s="23">
        <v>14049</v>
      </c>
      <c r="F16" s="33">
        <f t="shared" si="0"/>
        <v>14048.52</v>
      </c>
      <c r="G16" s="24">
        <v>0</v>
      </c>
      <c r="H16" s="23">
        <v>0</v>
      </c>
      <c r="I16" s="24">
        <v>0</v>
      </c>
      <c r="J16" s="23">
        <v>0</v>
      </c>
      <c r="K16" s="24">
        <f t="shared" si="1"/>
        <v>3</v>
      </c>
      <c r="L16" s="23">
        <f t="shared" si="1"/>
        <v>14049</v>
      </c>
    </row>
    <row r="17" spans="1:12" s="22" customFormat="1" x14ac:dyDescent="0.25">
      <c r="A17" s="22" t="s">
        <v>72</v>
      </c>
      <c r="B17" s="22" t="s">
        <v>73</v>
      </c>
      <c r="C17" s="23">
        <v>124902093</v>
      </c>
      <c r="D17" s="24">
        <v>1</v>
      </c>
      <c r="E17" s="23">
        <v>124902</v>
      </c>
      <c r="F17" s="33">
        <f t="shared" si="0"/>
        <v>124902.09300000001</v>
      </c>
      <c r="G17" s="24">
        <v>0</v>
      </c>
      <c r="H17" s="23">
        <v>0</v>
      </c>
      <c r="I17" s="24">
        <v>0</v>
      </c>
      <c r="J17" s="23">
        <v>0</v>
      </c>
      <c r="K17" s="24">
        <f t="shared" si="1"/>
        <v>1</v>
      </c>
      <c r="L17" s="23">
        <f t="shared" si="1"/>
        <v>124902</v>
      </c>
    </row>
    <row r="18" spans="1:12" s="22" customFormat="1" x14ac:dyDescent="0.25">
      <c r="A18" s="22" t="s">
        <v>1</v>
      </c>
      <c r="B18" s="22" t="s">
        <v>2</v>
      </c>
      <c r="C18" s="23">
        <v>56869170</v>
      </c>
      <c r="D18" s="24">
        <v>4.1559999999999997</v>
      </c>
      <c r="E18" s="23">
        <v>236348</v>
      </c>
      <c r="F18" s="33">
        <f t="shared" si="0"/>
        <v>236348.27051999999</v>
      </c>
      <c r="G18" s="24">
        <v>0</v>
      </c>
      <c r="H18" s="23">
        <v>0</v>
      </c>
      <c r="I18" s="24">
        <v>9.1999999999999998E-2</v>
      </c>
      <c r="J18" s="23">
        <v>5232</v>
      </c>
      <c r="K18" s="24">
        <f t="shared" si="1"/>
        <v>4.2479999999999993</v>
      </c>
      <c r="L18" s="23">
        <f t="shared" si="1"/>
        <v>241580</v>
      </c>
    </row>
    <row r="19" spans="1:12" s="22" customFormat="1" x14ac:dyDescent="0.25">
      <c r="A19" s="22" t="s">
        <v>120</v>
      </c>
      <c r="B19" s="22" t="s">
        <v>75</v>
      </c>
      <c r="C19" s="23">
        <v>6469120610</v>
      </c>
      <c r="D19" s="24">
        <v>4</v>
      </c>
      <c r="E19" s="23">
        <v>25876482</v>
      </c>
      <c r="F19" s="33">
        <f t="shared" si="0"/>
        <v>25876482.440000001</v>
      </c>
      <c r="G19" s="24">
        <v>0</v>
      </c>
      <c r="H19" s="23">
        <v>0</v>
      </c>
      <c r="I19" s="24">
        <v>8.0000000000000002E-3</v>
      </c>
      <c r="J19" s="23">
        <v>51753</v>
      </c>
      <c r="K19" s="24">
        <f t="shared" si="1"/>
        <v>4.008</v>
      </c>
      <c r="L19" s="23">
        <f t="shared" si="1"/>
        <v>25928235</v>
      </c>
    </row>
    <row r="20" spans="1:12" s="22" customFormat="1" x14ac:dyDescent="0.25">
      <c r="A20" s="22" t="s">
        <v>78</v>
      </c>
      <c r="B20" s="22" t="s">
        <v>77</v>
      </c>
      <c r="C20" s="23">
        <v>1838995980</v>
      </c>
      <c r="D20" s="24">
        <v>2.75</v>
      </c>
      <c r="E20" s="23">
        <v>5057239</v>
      </c>
      <c r="F20" s="33">
        <f t="shared" si="0"/>
        <v>5057238.9449999994</v>
      </c>
      <c r="G20" s="24">
        <v>0</v>
      </c>
      <c r="H20" s="23">
        <v>0</v>
      </c>
      <c r="I20" s="24">
        <v>0</v>
      </c>
      <c r="J20" s="23">
        <v>0</v>
      </c>
      <c r="K20" s="24">
        <f t="shared" si="1"/>
        <v>2.75</v>
      </c>
      <c r="L20" s="23">
        <f t="shared" si="1"/>
        <v>5057239</v>
      </c>
    </row>
    <row r="21" spans="1:12" s="22" customFormat="1" x14ac:dyDescent="0.25">
      <c r="A21" s="22" t="s">
        <v>63</v>
      </c>
      <c r="B21" s="22" t="s">
        <v>64</v>
      </c>
      <c r="C21" s="23">
        <v>79497960</v>
      </c>
      <c r="D21" s="24">
        <v>1</v>
      </c>
      <c r="E21" s="23">
        <v>79498</v>
      </c>
      <c r="F21" s="33">
        <f t="shared" si="0"/>
        <v>79497.960000000006</v>
      </c>
      <c r="G21" s="24">
        <v>0</v>
      </c>
      <c r="H21" s="23">
        <v>0</v>
      </c>
      <c r="I21" s="24">
        <v>0</v>
      </c>
      <c r="J21" s="23">
        <v>0</v>
      </c>
      <c r="K21" s="24">
        <f t="shared" si="1"/>
        <v>1</v>
      </c>
      <c r="L21" s="23">
        <f t="shared" si="1"/>
        <v>79498</v>
      </c>
    </row>
    <row r="22" spans="1:12" s="22" customFormat="1" x14ac:dyDescent="0.25">
      <c r="A22" s="22" t="s">
        <v>6</v>
      </c>
      <c r="B22" s="22" t="s">
        <v>7</v>
      </c>
      <c r="C22" s="23">
        <v>237072830</v>
      </c>
      <c r="D22" s="24">
        <v>3.5</v>
      </c>
      <c r="E22" s="23">
        <v>829755</v>
      </c>
      <c r="F22" s="33">
        <f t="shared" si="0"/>
        <v>829754.90500000003</v>
      </c>
      <c r="G22" s="24">
        <v>0</v>
      </c>
      <c r="H22" s="23">
        <v>0</v>
      </c>
      <c r="I22" s="24">
        <v>0</v>
      </c>
      <c r="J22" s="23">
        <v>0</v>
      </c>
      <c r="K22" s="24">
        <f t="shared" si="1"/>
        <v>3.5</v>
      </c>
      <c r="L22" s="23">
        <f t="shared" si="1"/>
        <v>829755</v>
      </c>
    </row>
    <row r="23" spans="1:12" s="22" customFormat="1" x14ac:dyDescent="0.25">
      <c r="A23" s="22" t="s">
        <v>21</v>
      </c>
      <c r="B23" s="22" t="s">
        <v>22</v>
      </c>
      <c r="C23" s="23" t="s">
        <v>124</v>
      </c>
      <c r="D23" s="24">
        <f>3.298-0.663</f>
        <v>2.6349999999999998</v>
      </c>
      <c r="E23" s="23">
        <f>3028216-608765</f>
        <v>2419451</v>
      </c>
      <c r="F23" s="33" t="e">
        <f t="shared" si="0"/>
        <v>#VALUE!</v>
      </c>
      <c r="G23" s="24">
        <v>1.0129999999999999</v>
      </c>
      <c r="H23" s="23">
        <v>930134</v>
      </c>
      <c r="I23" s="24">
        <v>1.2999999999999999E-2</v>
      </c>
      <c r="J23" s="23">
        <v>11937</v>
      </c>
      <c r="K23" s="24">
        <f t="shared" si="1"/>
        <v>3.6609999999999996</v>
      </c>
      <c r="L23" s="23">
        <f t="shared" si="1"/>
        <v>3361522</v>
      </c>
    </row>
    <row r="24" spans="1:12" s="22" customFormat="1" x14ac:dyDescent="0.25">
      <c r="A24" s="22" t="s">
        <v>79</v>
      </c>
      <c r="B24" s="22" t="s">
        <v>80</v>
      </c>
      <c r="C24" s="23">
        <v>360503670</v>
      </c>
      <c r="D24" s="24">
        <v>2.516</v>
      </c>
      <c r="E24" s="23">
        <v>907027</v>
      </c>
      <c r="F24" s="33">
        <f t="shared" si="0"/>
        <v>907027.23372000002</v>
      </c>
      <c r="G24" s="24">
        <v>0</v>
      </c>
      <c r="H24" s="23">
        <v>0</v>
      </c>
      <c r="I24" s="24">
        <v>0</v>
      </c>
      <c r="J24" s="23">
        <v>0</v>
      </c>
      <c r="K24" s="24">
        <f t="shared" si="1"/>
        <v>2.516</v>
      </c>
      <c r="L24" s="23">
        <f t="shared" si="1"/>
        <v>907027</v>
      </c>
    </row>
    <row r="25" spans="1:12" s="22" customFormat="1" x14ac:dyDescent="0.25">
      <c r="A25" s="22" t="s">
        <v>108</v>
      </c>
      <c r="B25" s="22" t="s">
        <v>107</v>
      </c>
      <c r="C25" s="23">
        <v>362173013</v>
      </c>
      <c r="D25" s="24">
        <v>4.5199999999999996</v>
      </c>
      <c r="E25" s="23">
        <v>1637022</v>
      </c>
      <c r="F25" s="33">
        <f t="shared" si="0"/>
        <v>1637022.0187599999</v>
      </c>
      <c r="G25" s="24">
        <v>0</v>
      </c>
      <c r="H25" s="23">
        <v>0</v>
      </c>
      <c r="I25" s="24">
        <v>1.2999999999999999E-2</v>
      </c>
      <c r="J25" s="23">
        <v>4708</v>
      </c>
      <c r="K25" s="24">
        <f t="shared" si="1"/>
        <v>4.5329999999999995</v>
      </c>
      <c r="L25" s="23">
        <f t="shared" si="1"/>
        <v>1641730</v>
      </c>
    </row>
    <row r="26" spans="1:12" s="22" customFormat="1" x14ac:dyDescent="0.25">
      <c r="A26" s="22" t="s">
        <v>86</v>
      </c>
      <c r="B26" s="22" t="s">
        <v>87</v>
      </c>
      <c r="C26" s="25">
        <v>2377611310</v>
      </c>
      <c r="D26" s="24">
        <v>1</v>
      </c>
      <c r="E26" s="23">
        <v>2377611</v>
      </c>
      <c r="F26" s="33">
        <f t="shared" si="0"/>
        <v>2377611.31</v>
      </c>
      <c r="G26" s="24">
        <v>0</v>
      </c>
      <c r="H26" s="23">
        <v>0</v>
      </c>
      <c r="I26" s="24">
        <v>7.1999999999999995E-2</v>
      </c>
      <c r="J26" s="23">
        <v>171188</v>
      </c>
      <c r="K26" s="24">
        <f t="shared" si="1"/>
        <v>1.0720000000000001</v>
      </c>
      <c r="L26" s="23">
        <f t="shared" si="1"/>
        <v>2548799</v>
      </c>
    </row>
    <row r="27" spans="1:12" s="22" customFormat="1" x14ac:dyDescent="0.25">
      <c r="A27" s="22" t="s">
        <v>88</v>
      </c>
      <c r="B27" s="22" t="s">
        <v>89</v>
      </c>
      <c r="C27" s="23">
        <v>371092320</v>
      </c>
      <c r="D27" s="24">
        <v>0.23899999999999999</v>
      </c>
      <c r="E27" s="23">
        <v>88691</v>
      </c>
      <c r="F27" s="33">
        <f t="shared" si="0"/>
        <v>88691.064479999986</v>
      </c>
      <c r="G27" s="24">
        <v>0</v>
      </c>
      <c r="H27" s="23">
        <v>0</v>
      </c>
      <c r="I27" s="24">
        <v>0</v>
      </c>
      <c r="J27" s="23">
        <v>0</v>
      </c>
      <c r="K27" s="24">
        <f t="shared" si="1"/>
        <v>0.23899999999999999</v>
      </c>
      <c r="L27" s="23">
        <f t="shared" si="1"/>
        <v>88691</v>
      </c>
    </row>
    <row r="28" spans="1:12" s="22" customFormat="1" x14ac:dyDescent="0.25">
      <c r="A28" s="22" t="s">
        <v>90</v>
      </c>
      <c r="B28" s="22" t="s">
        <v>91</v>
      </c>
      <c r="C28" s="23">
        <v>663442480</v>
      </c>
      <c r="D28" s="24">
        <v>2.41</v>
      </c>
      <c r="E28" s="23">
        <v>1598896</v>
      </c>
      <c r="F28" s="33">
        <f t="shared" si="0"/>
        <v>1598896.3768000002</v>
      </c>
      <c r="G28" s="24">
        <v>0.95</v>
      </c>
      <c r="H28" s="23">
        <v>630270</v>
      </c>
      <c r="I28" s="24">
        <v>2E-3</v>
      </c>
      <c r="J28" s="23">
        <v>1327</v>
      </c>
      <c r="K28" s="24">
        <f t="shared" si="1"/>
        <v>3.3620000000000001</v>
      </c>
      <c r="L28" s="23">
        <f t="shared" si="1"/>
        <v>2230493</v>
      </c>
    </row>
    <row r="29" spans="1:12" s="22" customFormat="1" x14ac:dyDescent="0.25">
      <c r="A29" s="22" t="s">
        <v>92</v>
      </c>
      <c r="B29" s="22" t="s">
        <v>93</v>
      </c>
      <c r="C29" s="23">
        <v>603133410</v>
      </c>
      <c r="D29" s="24">
        <v>1.5960000000000001</v>
      </c>
      <c r="E29" s="23">
        <v>962601</v>
      </c>
      <c r="F29" s="33">
        <f t="shared" si="0"/>
        <v>962600.92235999997</v>
      </c>
      <c r="G29" s="24">
        <v>0</v>
      </c>
      <c r="H29" s="23">
        <v>0</v>
      </c>
      <c r="I29" s="24">
        <v>7.0000000000000001E-3</v>
      </c>
      <c r="J29" s="23">
        <v>4222</v>
      </c>
      <c r="K29" s="24">
        <f t="shared" si="1"/>
        <v>1.603</v>
      </c>
      <c r="L29" s="23">
        <f t="shared" si="1"/>
        <v>966823</v>
      </c>
    </row>
    <row r="30" spans="1:12" s="22" customFormat="1" x14ac:dyDescent="0.25">
      <c r="A30" s="22" t="s">
        <v>56</v>
      </c>
      <c r="B30" s="22" t="s">
        <v>57</v>
      </c>
      <c r="C30" s="23">
        <v>162897635</v>
      </c>
      <c r="D30" s="24">
        <v>3.2490000000000001</v>
      </c>
      <c r="E30" s="23">
        <v>529254</v>
      </c>
      <c r="F30" s="33">
        <f t="shared" si="0"/>
        <v>529254.41611500003</v>
      </c>
      <c r="G30" s="24">
        <v>0</v>
      </c>
      <c r="H30" s="23">
        <v>0</v>
      </c>
      <c r="I30" s="24">
        <v>3.0000000000000001E-3</v>
      </c>
      <c r="J30" s="23">
        <v>489</v>
      </c>
      <c r="K30" s="24">
        <f t="shared" si="1"/>
        <v>3.2520000000000002</v>
      </c>
      <c r="L30" s="23">
        <f t="shared" si="1"/>
        <v>529743</v>
      </c>
    </row>
    <row r="31" spans="1:12" s="22" customFormat="1" x14ac:dyDescent="0.25">
      <c r="A31" s="22" t="s">
        <v>56</v>
      </c>
      <c r="B31" s="22" t="s">
        <v>31</v>
      </c>
      <c r="C31" s="23">
        <v>10499315430</v>
      </c>
      <c r="D31" s="24">
        <v>3.2490000000000001</v>
      </c>
      <c r="E31" s="23">
        <v>34112276</v>
      </c>
      <c r="F31" s="33">
        <f t="shared" si="0"/>
        <v>34112275.83207</v>
      </c>
      <c r="G31" s="24">
        <v>0</v>
      </c>
      <c r="H31" s="23">
        <v>0</v>
      </c>
      <c r="I31" s="24">
        <v>3.0000000000000001E-3</v>
      </c>
      <c r="J31" s="23">
        <v>31498</v>
      </c>
      <c r="K31" s="24">
        <f t="shared" si="1"/>
        <v>3.2520000000000002</v>
      </c>
      <c r="L31" s="23">
        <f t="shared" si="1"/>
        <v>34143774</v>
      </c>
    </row>
    <row r="32" spans="1:12" s="22" customFormat="1" x14ac:dyDescent="0.25">
      <c r="A32" s="22" t="s">
        <v>125</v>
      </c>
      <c r="B32" s="22" t="s">
        <v>94</v>
      </c>
      <c r="C32" s="23">
        <v>52911140</v>
      </c>
      <c r="D32" s="24">
        <v>1.75</v>
      </c>
      <c r="E32" s="23">
        <v>92594</v>
      </c>
      <c r="F32" s="33">
        <f t="shared" si="0"/>
        <v>92594.494999999995</v>
      </c>
      <c r="G32" s="24">
        <v>0</v>
      </c>
      <c r="H32" s="23">
        <v>0</v>
      </c>
      <c r="I32" s="24">
        <v>0</v>
      </c>
      <c r="J32" s="23">
        <v>0</v>
      </c>
      <c r="K32" s="24">
        <f t="shared" si="1"/>
        <v>1.75</v>
      </c>
      <c r="L32" s="23">
        <f t="shared" si="1"/>
        <v>92594</v>
      </c>
    </row>
    <row r="33" spans="1:12" s="22" customFormat="1" x14ac:dyDescent="0.25">
      <c r="A33" s="22" t="s">
        <v>103</v>
      </c>
      <c r="B33" s="22" t="s">
        <v>104</v>
      </c>
      <c r="C33" s="23">
        <v>253523440</v>
      </c>
      <c r="D33" s="24">
        <v>1.5</v>
      </c>
      <c r="E33" s="23">
        <v>380285</v>
      </c>
      <c r="F33" s="33">
        <f t="shared" si="0"/>
        <v>380285.16000000003</v>
      </c>
      <c r="G33" s="24">
        <v>0</v>
      </c>
      <c r="H33" s="23">
        <v>0</v>
      </c>
      <c r="I33" s="24">
        <v>0</v>
      </c>
      <c r="J33" s="23">
        <v>0</v>
      </c>
      <c r="K33" s="24">
        <f t="shared" si="1"/>
        <v>1.5</v>
      </c>
      <c r="L33" s="23">
        <f t="shared" si="1"/>
        <v>380285</v>
      </c>
    </row>
    <row r="34" spans="1:12" s="22" customFormat="1" x14ac:dyDescent="0.25">
      <c r="A34" s="22" t="s">
        <v>112</v>
      </c>
      <c r="B34" s="22" t="s">
        <v>98</v>
      </c>
      <c r="C34" s="23">
        <v>61801650</v>
      </c>
      <c r="D34" s="24">
        <v>1.4119999999999999</v>
      </c>
      <c r="E34" s="23">
        <v>87264</v>
      </c>
      <c r="F34" s="33">
        <f t="shared" si="0"/>
        <v>87263.929799999984</v>
      </c>
      <c r="G34" s="24">
        <v>0</v>
      </c>
      <c r="H34" s="23">
        <v>0</v>
      </c>
      <c r="I34" s="24">
        <v>0</v>
      </c>
      <c r="J34" s="23">
        <v>0</v>
      </c>
      <c r="K34" s="24">
        <f t="shared" si="1"/>
        <v>1.4119999999999999</v>
      </c>
      <c r="L34" s="23">
        <f t="shared" si="1"/>
        <v>87264</v>
      </c>
    </row>
    <row r="35" spans="1:12" s="22" customFormat="1" x14ac:dyDescent="0.25">
      <c r="A35" s="22" t="s">
        <v>99</v>
      </c>
      <c r="B35" s="22" t="s">
        <v>100</v>
      </c>
      <c r="C35" s="23">
        <v>9574801177</v>
      </c>
      <c r="D35" s="24">
        <v>4.5</v>
      </c>
      <c r="E35" s="23">
        <v>43086605</v>
      </c>
      <c r="F35" s="33">
        <f t="shared" si="0"/>
        <v>43086605.296499997</v>
      </c>
      <c r="G35" s="24">
        <v>0</v>
      </c>
      <c r="H35" s="23">
        <v>0</v>
      </c>
      <c r="I35" s="24">
        <v>0</v>
      </c>
      <c r="J35" s="23">
        <v>0</v>
      </c>
      <c r="K35" s="24">
        <f t="shared" si="1"/>
        <v>4.5</v>
      </c>
      <c r="L35" s="23">
        <f t="shared" si="1"/>
        <v>43086605</v>
      </c>
    </row>
    <row r="36" spans="1:12" s="22" customFormat="1" x14ac:dyDescent="0.25">
      <c r="A36" s="22" t="s">
        <v>83</v>
      </c>
      <c r="B36" s="22" t="s">
        <v>84</v>
      </c>
      <c r="C36" s="23">
        <v>96336951</v>
      </c>
      <c r="D36" s="24">
        <v>2</v>
      </c>
      <c r="E36" s="23">
        <v>192674</v>
      </c>
      <c r="F36" s="33">
        <f t="shared" si="0"/>
        <v>192673.902</v>
      </c>
      <c r="G36" s="24">
        <v>0</v>
      </c>
      <c r="H36" s="23">
        <v>0</v>
      </c>
      <c r="I36" s="24">
        <v>0</v>
      </c>
      <c r="J36" s="23">
        <v>0</v>
      </c>
      <c r="K36" s="24">
        <f t="shared" si="1"/>
        <v>2</v>
      </c>
      <c r="L36" s="23">
        <f t="shared" si="1"/>
        <v>192674</v>
      </c>
    </row>
    <row r="37" spans="1:12" s="22" customFormat="1" x14ac:dyDescent="0.25">
      <c r="A37" s="22" t="s">
        <v>101</v>
      </c>
      <c r="B37" s="22" t="s">
        <v>102</v>
      </c>
      <c r="C37" s="23">
        <v>37784390</v>
      </c>
      <c r="D37" s="24">
        <v>1.5</v>
      </c>
      <c r="E37" s="23">
        <v>56677</v>
      </c>
      <c r="F37" s="33">
        <f t="shared" si="0"/>
        <v>56676.584999999999</v>
      </c>
      <c r="G37" s="24">
        <v>0</v>
      </c>
      <c r="H37" s="23">
        <v>0</v>
      </c>
      <c r="I37" s="24">
        <v>0</v>
      </c>
      <c r="J37" s="23">
        <v>0</v>
      </c>
      <c r="K37" s="24">
        <f t="shared" si="1"/>
        <v>1.5</v>
      </c>
      <c r="L37" s="23">
        <f t="shared" si="1"/>
        <v>56677</v>
      </c>
    </row>
    <row r="38" spans="1:12" s="22" customFormat="1" x14ac:dyDescent="0.25">
      <c r="A38" s="22" t="s">
        <v>95</v>
      </c>
      <c r="B38" s="22" t="s">
        <v>96</v>
      </c>
      <c r="C38" s="23">
        <v>32539950</v>
      </c>
      <c r="D38" s="24">
        <v>5.91</v>
      </c>
      <c r="E38" s="23">
        <v>192311</v>
      </c>
      <c r="F38" s="33">
        <f t="shared" si="0"/>
        <v>192311.10450000002</v>
      </c>
      <c r="G38" s="24">
        <v>0</v>
      </c>
      <c r="H38" s="23">
        <v>0</v>
      </c>
      <c r="I38" s="24">
        <v>3.3000000000000002E-2</v>
      </c>
      <c r="J38" s="23">
        <v>1074</v>
      </c>
      <c r="K38" s="24">
        <f t="shared" si="1"/>
        <v>5.9430000000000005</v>
      </c>
      <c r="L38" s="23">
        <f t="shared" si="1"/>
        <v>193385</v>
      </c>
    </row>
    <row r="39" spans="1:12" s="22" customFormat="1" x14ac:dyDescent="0.25">
      <c r="A39" s="22" t="s">
        <v>54</v>
      </c>
      <c r="B39" s="22" t="s">
        <v>55</v>
      </c>
      <c r="C39" s="23">
        <v>61831430</v>
      </c>
      <c r="D39" s="24">
        <v>1.5</v>
      </c>
      <c r="E39" s="23">
        <v>92747</v>
      </c>
      <c r="F39" s="33">
        <f t="shared" si="0"/>
        <v>92747.145000000004</v>
      </c>
      <c r="G39" s="24">
        <v>0</v>
      </c>
      <c r="H39" s="23">
        <v>0</v>
      </c>
      <c r="I39" s="24">
        <v>0</v>
      </c>
      <c r="J39" s="23">
        <v>0</v>
      </c>
      <c r="K39" s="24">
        <f t="shared" si="1"/>
        <v>1.5</v>
      </c>
      <c r="L39" s="23">
        <f t="shared" si="1"/>
        <v>92747</v>
      </c>
    </row>
    <row r="40" spans="1:12" s="22" customFormat="1" x14ac:dyDescent="0.25">
      <c r="A40" s="22" t="s">
        <v>118</v>
      </c>
      <c r="B40" s="22" t="s">
        <v>119</v>
      </c>
      <c r="C40" s="23">
        <v>12925196</v>
      </c>
      <c r="D40" s="24">
        <v>5.85</v>
      </c>
      <c r="E40" s="23">
        <v>75612</v>
      </c>
      <c r="F40" s="33">
        <f t="shared" si="0"/>
        <v>75612.396599999993</v>
      </c>
      <c r="G40" s="24">
        <v>0</v>
      </c>
      <c r="H40" s="23">
        <v>0</v>
      </c>
      <c r="I40" s="24">
        <v>2.7E-2</v>
      </c>
      <c r="J40" s="23">
        <v>349</v>
      </c>
      <c r="K40" s="24">
        <f t="shared" si="1"/>
        <v>5.8769999999999998</v>
      </c>
      <c r="L40" s="23">
        <f t="shared" si="1"/>
        <v>75961</v>
      </c>
    </row>
    <row r="41" spans="1:12" s="22" customFormat="1" x14ac:dyDescent="0.25">
      <c r="A41" s="22" t="s">
        <v>3</v>
      </c>
      <c r="B41" s="22" t="s">
        <v>2</v>
      </c>
      <c r="C41" s="23">
        <v>45578210</v>
      </c>
      <c r="D41" s="24">
        <v>8</v>
      </c>
      <c r="E41" s="23">
        <v>364626</v>
      </c>
      <c r="F41" s="33">
        <f>((D41/1000)*C41)</f>
        <v>364625.68</v>
      </c>
      <c r="G41" s="24">
        <v>0</v>
      </c>
      <c r="H41" s="23">
        <v>0</v>
      </c>
      <c r="I41" s="24">
        <v>2.3E-2</v>
      </c>
      <c r="J41" s="23">
        <v>1048</v>
      </c>
      <c r="K41" s="24">
        <f t="shared" si="1"/>
        <v>8.0229999999999997</v>
      </c>
      <c r="L41" s="23">
        <f t="shared" si="1"/>
        <v>365674</v>
      </c>
    </row>
    <row r="42" spans="1:12" s="22" customFormat="1" x14ac:dyDescent="0.25">
      <c r="A42" s="22" t="s">
        <v>16</v>
      </c>
      <c r="B42" s="22" t="s">
        <v>17</v>
      </c>
      <c r="C42" s="23">
        <v>585955630</v>
      </c>
      <c r="D42" s="24">
        <v>2.032</v>
      </c>
      <c r="E42" s="23">
        <v>1190662</v>
      </c>
      <c r="F42" s="33">
        <f t="shared" ref="F42:F71" si="2">((D42/1000)*C42)</f>
        <v>1190661.8401599999</v>
      </c>
      <c r="G42" s="24">
        <v>0</v>
      </c>
      <c r="H42" s="23">
        <v>0</v>
      </c>
      <c r="I42" s="24">
        <v>0</v>
      </c>
      <c r="J42" s="23">
        <v>0</v>
      </c>
      <c r="K42" s="24">
        <f t="shared" si="1"/>
        <v>2.032</v>
      </c>
      <c r="L42" s="23">
        <f t="shared" si="1"/>
        <v>1190662</v>
      </c>
    </row>
    <row r="43" spans="1:12" s="22" customFormat="1" x14ac:dyDescent="0.25">
      <c r="A43" s="22" t="s">
        <v>110</v>
      </c>
      <c r="B43" s="22" t="s">
        <v>0</v>
      </c>
      <c r="C43" s="23">
        <v>1903371270</v>
      </c>
      <c r="D43" s="24">
        <v>3</v>
      </c>
      <c r="E43" s="23">
        <v>5710114</v>
      </c>
      <c r="F43" s="33">
        <f t="shared" si="2"/>
        <v>5710113.8100000005</v>
      </c>
      <c r="G43" s="24">
        <v>0</v>
      </c>
      <c r="H43" s="23">
        <v>0</v>
      </c>
      <c r="I43" s="24">
        <v>5.8999999999999997E-2</v>
      </c>
      <c r="J43" s="23">
        <v>112299</v>
      </c>
      <c r="K43" s="24">
        <f t="shared" si="1"/>
        <v>3.0590000000000002</v>
      </c>
      <c r="L43" s="23">
        <f t="shared" si="1"/>
        <v>5822413</v>
      </c>
    </row>
    <row r="44" spans="1:12" s="22" customFormat="1" x14ac:dyDescent="0.25">
      <c r="A44" s="22" t="s">
        <v>5</v>
      </c>
      <c r="B44" s="22" t="s">
        <v>4</v>
      </c>
      <c r="C44" s="23">
        <v>524301017</v>
      </c>
      <c r="D44" s="24">
        <v>3.85</v>
      </c>
      <c r="E44" s="23">
        <v>2018559</v>
      </c>
      <c r="F44" s="33">
        <f t="shared" si="2"/>
        <v>2018558.91545</v>
      </c>
      <c r="G44" s="24">
        <v>0</v>
      </c>
      <c r="H44" s="23">
        <v>0</v>
      </c>
      <c r="I44" s="24">
        <v>0</v>
      </c>
      <c r="J44" s="23">
        <v>0</v>
      </c>
      <c r="K44" s="24">
        <f t="shared" si="1"/>
        <v>3.85</v>
      </c>
      <c r="L44" s="23">
        <f t="shared" si="1"/>
        <v>2018559</v>
      </c>
    </row>
    <row r="45" spans="1:12" s="22" customFormat="1" x14ac:dyDescent="0.25">
      <c r="A45" s="22" t="s">
        <v>58</v>
      </c>
      <c r="B45" s="22" t="s">
        <v>57</v>
      </c>
      <c r="C45" s="23">
        <v>72617383</v>
      </c>
      <c r="D45" s="24">
        <v>4.4000000000000004</v>
      </c>
      <c r="E45" s="23">
        <v>319516</v>
      </c>
      <c r="F45" s="33">
        <f t="shared" si="2"/>
        <v>319516.4852</v>
      </c>
      <c r="G45" s="24">
        <f>0.931+0.877</f>
        <v>1.8080000000000001</v>
      </c>
      <c r="H45" s="23">
        <f>67607+63685</f>
        <v>131292</v>
      </c>
      <c r="I45" s="24">
        <v>0</v>
      </c>
      <c r="J45" s="23">
        <v>0</v>
      </c>
      <c r="K45" s="24">
        <f t="shared" si="1"/>
        <v>6.2080000000000002</v>
      </c>
      <c r="L45" s="23">
        <f t="shared" si="1"/>
        <v>450808</v>
      </c>
    </row>
    <row r="46" spans="1:12" s="22" customFormat="1" x14ac:dyDescent="0.25">
      <c r="A46" s="22" t="s">
        <v>59</v>
      </c>
      <c r="B46" s="22" t="s">
        <v>60</v>
      </c>
      <c r="C46" s="23">
        <v>195069390</v>
      </c>
      <c r="D46" s="24">
        <v>2.5</v>
      </c>
      <c r="E46" s="23">
        <v>487673</v>
      </c>
      <c r="F46" s="33">
        <f t="shared" si="2"/>
        <v>487673.47500000003</v>
      </c>
      <c r="G46" s="24">
        <v>0</v>
      </c>
      <c r="H46" s="23">
        <v>0</v>
      </c>
      <c r="I46" s="24">
        <v>0</v>
      </c>
      <c r="J46" s="23">
        <v>0</v>
      </c>
      <c r="K46" s="24">
        <f t="shared" si="1"/>
        <v>2.5</v>
      </c>
      <c r="L46" s="23">
        <f t="shared" si="1"/>
        <v>487673</v>
      </c>
    </row>
    <row r="47" spans="1:12" s="22" customFormat="1" x14ac:dyDescent="0.25">
      <c r="A47" s="22" t="s">
        <v>122</v>
      </c>
      <c r="B47" s="22" t="s">
        <v>8</v>
      </c>
      <c r="C47" s="23">
        <v>56945550</v>
      </c>
      <c r="D47" s="24">
        <v>1.5</v>
      </c>
      <c r="E47" s="23">
        <v>85418</v>
      </c>
      <c r="F47" s="33">
        <f t="shared" si="2"/>
        <v>85418.324999999997</v>
      </c>
      <c r="G47" s="24">
        <v>0</v>
      </c>
      <c r="H47" s="23">
        <v>0</v>
      </c>
      <c r="I47" s="24">
        <v>0</v>
      </c>
      <c r="J47" s="23">
        <v>0</v>
      </c>
      <c r="K47" s="24">
        <f t="shared" si="1"/>
        <v>1.5</v>
      </c>
      <c r="L47" s="23">
        <f t="shared" si="1"/>
        <v>85418</v>
      </c>
    </row>
    <row r="48" spans="1:12" s="22" customFormat="1" ht="14.25" customHeight="1" x14ac:dyDescent="0.25">
      <c r="A48" s="22" t="s">
        <v>85</v>
      </c>
      <c r="B48" s="22" t="s">
        <v>84</v>
      </c>
      <c r="C48" s="23">
        <v>32476841</v>
      </c>
      <c r="D48" s="24">
        <v>5.508</v>
      </c>
      <c r="E48" s="23">
        <v>178882</v>
      </c>
      <c r="F48" s="33">
        <f t="shared" si="2"/>
        <v>178882.44022799999</v>
      </c>
      <c r="G48" s="24">
        <v>0</v>
      </c>
      <c r="H48" s="23">
        <v>0</v>
      </c>
      <c r="I48" s="24">
        <v>1E-3</v>
      </c>
      <c r="J48" s="23">
        <v>32</v>
      </c>
      <c r="K48" s="24">
        <f t="shared" si="1"/>
        <v>5.5090000000000003</v>
      </c>
      <c r="L48" s="23">
        <f t="shared" si="1"/>
        <v>178914</v>
      </c>
    </row>
    <row r="49" spans="1:12" s="22" customFormat="1" x14ac:dyDescent="0.25">
      <c r="A49" s="22" t="s">
        <v>81</v>
      </c>
      <c r="B49" s="22" t="s">
        <v>82</v>
      </c>
      <c r="C49" s="23">
        <v>7198824710</v>
      </c>
      <c r="D49" s="24">
        <f>4-0.018</f>
        <v>3.9820000000000002</v>
      </c>
      <c r="E49" s="23">
        <f>28795299-129579</f>
        <v>28665720</v>
      </c>
      <c r="F49" s="33">
        <f t="shared" si="2"/>
        <v>28665719.995220002</v>
      </c>
      <c r="G49" s="24">
        <v>0</v>
      </c>
      <c r="H49" s="23">
        <v>0</v>
      </c>
      <c r="I49" s="24">
        <v>1.7999999999999999E-2</v>
      </c>
      <c r="J49" s="23">
        <v>129579</v>
      </c>
      <c r="K49" s="24">
        <f t="shared" si="1"/>
        <v>4</v>
      </c>
      <c r="L49" s="23">
        <f t="shared" si="1"/>
        <v>28795299</v>
      </c>
    </row>
    <row r="50" spans="1:12" s="22" customFormat="1" x14ac:dyDescent="0.25">
      <c r="A50" s="22" t="s">
        <v>105</v>
      </c>
      <c r="B50" s="22" t="s">
        <v>104</v>
      </c>
      <c r="C50" s="23">
        <v>224687150</v>
      </c>
      <c r="D50" s="24">
        <v>2.5</v>
      </c>
      <c r="E50" s="23">
        <v>561718</v>
      </c>
      <c r="F50" s="33">
        <f t="shared" si="2"/>
        <v>561717.875</v>
      </c>
      <c r="G50" s="24">
        <v>0</v>
      </c>
      <c r="H50" s="23">
        <v>0</v>
      </c>
      <c r="I50" s="24">
        <v>0</v>
      </c>
      <c r="J50" s="23">
        <v>0</v>
      </c>
      <c r="K50" s="24">
        <f t="shared" si="1"/>
        <v>2.5</v>
      </c>
      <c r="L50" s="23">
        <f t="shared" si="1"/>
        <v>561718</v>
      </c>
    </row>
    <row r="51" spans="1:12" s="22" customFormat="1" x14ac:dyDescent="0.25">
      <c r="A51" s="22" t="s">
        <v>11</v>
      </c>
      <c r="B51" s="22" t="s">
        <v>10</v>
      </c>
      <c r="C51" s="23">
        <v>2941964777</v>
      </c>
      <c r="D51" s="24">
        <f>1.625-0.171</f>
        <v>1.454</v>
      </c>
      <c r="E51" s="23">
        <f>4780693-503076</f>
        <v>4277617</v>
      </c>
      <c r="F51" s="33">
        <f>((D51/1000)*C51)</f>
        <v>4277616.7857579999</v>
      </c>
      <c r="G51" s="24">
        <v>0</v>
      </c>
      <c r="H51" s="23">
        <v>0</v>
      </c>
      <c r="I51" s="24">
        <v>3.0000000000000001E-3</v>
      </c>
      <c r="J51" s="23">
        <v>8826</v>
      </c>
      <c r="K51" s="24">
        <f t="shared" si="1"/>
        <v>1.4569999999999999</v>
      </c>
      <c r="L51" s="23">
        <f t="shared" si="1"/>
        <v>4286443</v>
      </c>
    </row>
    <row r="52" spans="1:12" s="22" customFormat="1" x14ac:dyDescent="0.25">
      <c r="A52" s="22" t="s">
        <v>35</v>
      </c>
      <c r="B52" s="22" t="s">
        <v>107</v>
      </c>
      <c r="C52" s="23">
        <v>3394516024</v>
      </c>
      <c r="D52" s="24">
        <v>3</v>
      </c>
      <c r="E52" s="23">
        <v>10183548</v>
      </c>
      <c r="F52" s="33">
        <f t="shared" si="2"/>
        <v>10183548.072000001</v>
      </c>
      <c r="G52" s="24">
        <v>0</v>
      </c>
      <c r="H52" s="23">
        <v>0</v>
      </c>
      <c r="I52" s="24">
        <v>0</v>
      </c>
      <c r="J52" s="23">
        <v>0</v>
      </c>
      <c r="K52" s="24">
        <f t="shared" si="1"/>
        <v>3</v>
      </c>
      <c r="L52" s="23">
        <f t="shared" si="1"/>
        <v>10183548</v>
      </c>
    </row>
    <row r="53" spans="1:12" s="22" customFormat="1" x14ac:dyDescent="0.25">
      <c r="A53" s="22" t="s">
        <v>12</v>
      </c>
      <c r="B53" s="22" t="s">
        <v>13</v>
      </c>
      <c r="C53" s="23">
        <v>133219663</v>
      </c>
      <c r="D53" s="24">
        <v>0</v>
      </c>
      <c r="E53" s="23">
        <v>0</v>
      </c>
      <c r="F53" s="33">
        <f t="shared" si="2"/>
        <v>0</v>
      </c>
      <c r="G53" s="24">
        <v>0</v>
      </c>
      <c r="H53" s="23">
        <v>0</v>
      </c>
      <c r="I53" s="24">
        <v>0</v>
      </c>
      <c r="J53" s="23">
        <v>0</v>
      </c>
      <c r="K53" s="24">
        <f t="shared" si="1"/>
        <v>0</v>
      </c>
      <c r="L53" s="23">
        <f t="shared" si="1"/>
        <v>0</v>
      </c>
    </row>
    <row r="54" spans="1:12" s="22" customFormat="1" x14ac:dyDescent="0.25">
      <c r="A54" s="22" t="s">
        <v>14</v>
      </c>
      <c r="B54" s="22" t="s">
        <v>15</v>
      </c>
      <c r="C54" s="23">
        <v>1775845704</v>
      </c>
      <c r="D54" s="24">
        <v>5.25</v>
      </c>
      <c r="E54" s="23">
        <v>9323190</v>
      </c>
      <c r="F54" s="33">
        <f t="shared" si="2"/>
        <v>9323189.9460000005</v>
      </c>
      <c r="G54" s="24">
        <v>0</v>
      </c>
      <c r="H54" s="23">
        <v>0</v>
      </c>
      <c r="I54" s="24">
        <v>2.1000000000000001E-2</v>
      </c>
      <c r="J54" s="23">
        <v>37293</v>
      </c>
      <c r="K54" s="24">
        <f t="shared" si="1"/>
        <v>5.2709999999999999</v>
      </c>
      <c r="L54" s="23">
        <f t="shared" si="1"/>
        <v>9360483</v>
      </c>
    </row>
    <row r="55" spans="1:12" s="22" customFormat="1" x14ac:dyDescent="0.25">
      <c r="A55" s="22" t="s">
        <v>28</v>
      </c>
      <c r="B55" s="22" t="s">
        <v>29</v>
      </c>
      <c r="C55" s="23">
        <v>260357890</v>
      </c>
      <c r="D55" s="24">
        <v>4.1189999999999998</v>
      </c>
      <c r="E55" s="23">
        <v>1072414</v>
      </c>
      <c r="F55" s="33">
        <f>((D55/1000)*C55)</f>
        <v>1072414.1489099998</v>
      </c>
      <c r="G55" s="24">
        <v>1.1000000000000001</v>
      </c>
      <c r="H55" s="23">
        <v>286394</v>
      </c>
      <c r="I55" s="24">
        <v>5.0000000000000001E-3</v>
      </c>
      <c r="J55" s="23">
        <v>1302</v>
      </c>
      <c r="K55" s="24">
        <f t="shared" si="1"/>
        <v>5.2239999999999993</v>
      </c>
      <c r="L55" s="23">
        <f t="shared" si="1"/>
        <v>1360110</v>
      </c>
    </row>
    <row r="56" spans="1:12" s="22" customFormat="1" x14ac:dyDescent="0.25">
      <c r="A56" s="22" t="s">
        <v>18</v>
      </c>
      <c r="B56" s="22" t="s">
        <v>17</v>
      </c>
      <c r="C56" s="23">
        <v>238377100</v>
      </c>
      <c r="D56" s="24">
        <v>0.5</v>
      </c>
      <c r="E56" s="23">
        <v>119189</v>
      </c>
      <c r="F56" s="33">
        <f t="shared" si="2"/>
        <v>119188.55</v>
      </c>
      <c r="G56" s="24">
        <v>0</v>
      </c>
      <c r="H56" s="23">
        <v>0</v>
      </c>
      <c r="I56" s="24">
        <v>0</v>
      </c>
      <c r="J56" s="23">
        <v>0</v>
      </c>
      <c r="K56" s="24">
        <f t="shared" si="1"/>
        <v>0.5</v>
      </c>
      <c r="L56" s="23">
        <f t="shared" si="1"/>
        <v>119189</v>
      </c>
    </row>
    <row r="57" spans="1:12" s="22" customFormat="1" x14ac:dyDescent="0.25">
      <c r="A57" s="22" t="s">
        <v>50</v>
      </c>
      <c r="B57" s="22" t="s">
        <v>49</v>
      </c>
      <c r="C57" s="23">
        <v>5005812970</v>
      </c>
      <c r="D57" s="24">
        <v>3.6589999999999998</v>
      </c>
      <c r="E57" s="23">
        <v>18316270</v>
      </c>
      <c r="F57" s="33">
        <f t="shared" si="2"/>
        <v>18316269.657230001</v>
      </c>
      <c r="G57" s="24">
        <v>0</v>
      </c>
      <c r="H57" s="23">
        <v>0</v>
      </c>
      <c r="I57" s="24">
        <v>7.0000000000000001E-3</v>
      </c>
      <c r="J57" s="23">
        <v>35041</v>
      </c>
      <c r="K57" s="24">
        <f t="shared" si="1"/>
        <v>3.6659999999999999</v>
      </c>
      <c r="L57" s="23">
        <f t="shared" si="1"/>
        <v>18351311</v>
      </c>
    </row>
    <row r="58" spans="1:12" s="22" customFormat="1" x14ac:dyDescent="0.25">
      <c r="A58" s="22" t="s">
        <v>109</v>
      </c>
      <c r="B58" s="22" t="s">
        <v>107</v>
      </c>
      <c r="C58" s="23">
        <v>57210685</v>
      </c>
      <c r="D58" s="24">
        <v>4.75</v>
      </c>
      <c r="E58" s="23">
        <v>271751</v>
      </c>
      <c r="F58" s="33">
        <f t="shared" si="2"/>
        <v>271750.75374999997</v>
      </c>
      <c r="G58" s="24">
        <v>0</v>
      </c>
      <c r="H58" s="23">
        <v>0</v>
      </c>
      <c r="I58" s="24">
        <v>0</v>
      </c>
      <c r="J58" s="23">
        <v>0</v>
      </c>
      <c r="K58" s="24">
        <f t="shared" si="1"/>
        <v>4.75</v>
      </c>
      <c r="L58" s="23">
        <f t="shared" si="1"/>
        <v>271751</v>
      </c>
    </row>
    <row r="59" spans="1:12" s="22" customFormat="1" x14ac:dyDescent="0.25">
      <c r="A59" s="22" t="s">
        <v>9</v>
      </c>
      <c r="B59" s="22" t="s">
        <v>8</v>
      </c>
      <c r="C59" s="23">
        <v>95627610</v>
      </c>
      <c r="D59" s="24">
        <v>2.8</v>
      </c>
      <c r="E59" s="23">
        <v>267757</v>
      </c>
      <c r="F59" s="33">
        <f t="shared" si="2"/>
        <v>267757.30800000002</v>
      </c>
      <c r="G59" s="24">
        <v>0</v>
      </c>
      <c r="H59" s="23">
        <v>0</v>
      </c>
      <c r="I59" s="24">
        <v>5.0000000000000001E-3</v>
      </c>
      <c r="J59" s="23">
        <v>478</v>
      </c>
      <c r="K59" s="24">
        <f t="shared" si="1"/>
        <v>2.8049999999999997</v>
      </c>
      <c r="L59" s="23">
        <f t="shared" si="1"/>
        <v>268235</v>
      </c>
    </row>
    <row r="60" spans="1:12" s="22" customFormat="1" x14ac:dyDescent="0.25">
      <c r="A60" s="22" t="s">
        <v>19</v>
      </c>
      <c r="B60" s="22" t="s">
        <v>20</v>
      </c>
      <c r="C60" s="23">
        <v>192333374</v>
      </c>
      <c r="D60" s="24">
        <v>1.5</v>
      </c>
      <c r="E60" s="23">
        <v>288500</v>
      </c>
      <c r="F60" s="33">
        <f t="shared" si="2"/>
        <v>288500.06099999999</v>
      </c>
      <c r="G60" s="24">
        <v>0</v>
      </c>
      <c r="H60" s="23">
        <v>0</v>
      </c>
      <c r="I60" s="24">
        <v>0</v>
      </c>
      <c r="J60" s="23">
        <v>0</v>
      </c>
      <c r="K60" s="24">
        <f t="shared" si="1"/>
        <v>1.5</v>
      </c>
      <c r="L60" s="23">
        <f t="shared" si="1"/>
        <v>288500</v>
      </c>
    </row>
    <row r="61" spans="1:12" s="22" customFormat="1" x14ac:dyDescent="0.25">
      <c r="A61" s="22" t="s">
        <v>61</v>
      </c>
      <c r="B61" s="22" t="s">
        <v>60</v>
      </c>
      <c r="C61" s="23">
        <v>224243930</v>
      </c>
      <c r="D61" s="24">
        <v>3.5</v>
      </c>
      <c r="E61" s="23">
        <v>784854</v>
      </c>
      <c r="F61" s="33">
        <f t="shared" si="2"/>
        <v>784853.755</v>
      </c>
      <c r="G61" s="24">
        <v>0</v>
      </c>
      <c r="H61" s="23">
        <v>0</v>
      </c>
      <c r="I61" s="24">
        <v>3.0000000000000001E-3</v>
      </c>
      <c r="J61" s="23">
        <v>673</v>
      </c>
      <c r="K61" s="24">
        <f t="shared" si="1"/>
        <v>3.5030000000000001</v>
      </c>
      <c r="L61" s="23">
        <f t="shared" si="1"/>
        <v>785527</v>
      </c>
    </row>
    <row r="62" spans="1:12" s="22" customFormat="1" x14ac:dyDescent="0.25">
      <c r="A62" s="22" t="s">
        <v>30</v>
      </c>
      <c r="B62" s="22" t="s">
        <v>29</v>
      </c>
      <c r="C62" s="23">
        <v>319332190</v>
      </c>
      <c r="D62" s="24">
        <f>0.573-0.075</f>
        <v>0.49799999999999994</v>
      </c>
      <c r="E62" s="23">
        <f>182977-23950</f>
        <v>159027</v>
      </c>
      <c r="F62" s="33">
        <f t="shared" si="2"/>
        <v>159027.43062</v>
      </c>
      <c r="G62" s="24">
        <v>0</v>
      </c>
      <c r="H62" s="23">
        <v>0</v>
      </c>
      <c r="I62" s="24">
        <v>0</v>
      </c>
      <c r="J62" s="23">
        <v>0</v>
      </c>
      <c r="K62" s="24">
        <f t="shared" si="1"/>
        <v>0.49799999999999994</v>
      </c>
      <c r="L62" s="23">
        <f t="shared" si="1"/>
        <v>159027</v>
      </c>
    </row>
    <row r="63" spans="1:12" s="22" customFormat="1" x14ac:dyDescent="0.25">
      <c r="A63" s="22" t="s">
        <v>114</v>
      </c>
      <c r="B63" s="22" t="s">
        <v>25</v>
      </c>
      <c r="C63" s="23">
        <v>767716390</v>
      </c>
      <c r="D63" s="24">
        <v>2.8</v>
      </c>
      <c r="E63" s="23">
        <v>2149606</v>
      </c>
      <c r="F63" s="33">
        <f t="shared" si="2"/>
        <v>2149605.892</v>
      </c>
      <c r="G63" s="24">
        <v>0</v>
      </c>
      <c r="H63" s="23">
        <v>0</v>
      </c>
      <c r="I63" s="24">
        <v>0.10199999999999999</v>
      </c>
      <c r="J63" s="23">
        <v>78307</v>
      </c>
      <c r="K63" s="24">
        <f t="shared" si="1"/>
        <v>2.9019999999999997</v>
      </c>
      <c r="L63" s="23">
        <f t="shared" si="1"/>
        <v>2227913</v>
      </c>
    </row>
    <row r="64" spans="1:12" s="22" customFormat="1" x14ac:dyDescent="0.25">
      <c r="A64" s="22" t="s">
        <v>113</v>
      </c>
      <c r="B64" s="22" t="s">
        <v>25</v>
      </c>
      <c r="C64" s="23">
        <v>32827810</v>
      </c>
      <c r="D64" s="24">
        <v>10.428000000000001</v>
      </c>
      <c r="E64" s="23">
        <v>342328</v>
      </c>
      <c r="F64" s="33">
        <f t="shared" si="2"/>
        <v>342328.40268000006</v>
      </c>
      <c r="G64" s="24">
        <v>0</v>
      </c>
      <c r="H64" s="23">
        <v>0</v>
      </c>
      <c r="I64" s="24">
        <v>0</v>
      </c>
      <c r="J64" s="23">
        <v>0</v>
      </c>
      <c r="K64" s="24">
        <f t="shared" si="1"/>
        <v>10.428000000000001</v>
      </c>
      <c r="L64" s="23">
        <f t="shared" si="1"/>
        <v>342328</v>
      </c>
    </row>
    <row r="65" spans="1:12" s="22" customFormat="1" x14ac:dyDescent="0.25">
      <c r="A65" s="22" t="s">
        <v>23</v>
      </c>
      <c r="B65" s="22" t="s">
        <v>22</v>
      </c>
      <c r="C65" s="23">
        <v>83767840</v>
      </c>
      <c r="D65" s="24">
        <v>1.147</v>
      </c>
      <c r="E65" s="23">
        <v>96082</v>
      </c>
      <c r="F65" s="33">
        <f>((D65/1000)*C65)</f>
        <v>96081.712480000002</v>
      </c>
      <c r="G65" s="24">
        <v>0</v>
      </c>
      <c r="H65" s="23">
        <v>0</v>
      </c>
      <c r="I65" s="24">
        <v>0</v>
      </c>
      <c r="J65" s="23">
        <v>0</v>
      </c>
      <c r="K65" s="24">
        <f t="shared" si="1"/>
        <v>1.147</v>
      </c>
      <c r="L65" s="23">
        <f t="shared" si="1"/>
        <v>96082</v>
      </c>
    </row>
    <row r="66" spans="1:12" s="22" customFormat="1" x14ac:dyDescent="0.25">
      <c r="A66" s="22" t="s">
        <v>97</v>
      </c>
      <c r="B66" s="22" t="s">
        <v>96</v>
      </c>
      <c r="C66" s="23">
        <v>92725720</v>
      </c>
      <c r="D66" s="24">
        <v>2.08</v>
      </c>
      <c r="E66" s="23">
        <v>192869</v>
      </c>
      <c r="F66" s="33">
        <f t="shared" si="2"/>
        <v>192869.49760000003</v>
      </c>
      <c r="G66" s="24">
        <v>1.8360000000000001</v>
      </c>
      <c r="H66" s="23">
        <v>170244</v>
      </c>
      <c r="I66" s="24">
        <v>6.4000000000000001E-2</v>
      </c>
      <c r="J66" s="23">
        <v>5934</v>
      </c>
      <c r="K66" s="24">
        <f t="shared" si="1"/>
        <v>3.9800000000000004</v>
      </c>
      <c r="L66" s="23">
        <f t="shared" si="1"/>
        <v>369047</v>
      </c>
    </row>
    <row r="67" spans="1:12" s="22" customFormat="1" x14ac:dyDescent="0.25">
      <c r="A67" s="22" t="s">
        <v>26</v>
      </c>
      <c r="B67" s="22" t="s">
        <v>27</v>
      </c>
      <c r="C67" s="23">
        <v>1897719190</v>
      </c>
      <c r="D67" s="24">
        <v>0.76700000000000002</v>
      </c>
      <c r="E67" s="23">
        <v>1455551</v>
      </c>
      <c r="F67" s="33">
        <f t="shared" si="2"/>
        <v>1455550.61873</v>
      </c>
      <c r="G67" s="24">
        <v>0</v>
      </c>
      <c r="H67" s="23">
        <v>0</v>
      </c>
      <c r="I67" s="24">
        <v>0</v>
      </c>
      <c r="J67" s="23">
        <v>0</v>
      </c>
      <c r="K67" s="24">
        <f t="shared" si="1"/>
        <v>0.76700000000000002</v>
      </c>
      <c r="L67" s="23">
        <f t="shared" si="1"/>
        <v>1455551</v>
      </c>
    </row>
    <row r="68" spans="1:12" s="22" customFormat="1" x14ac:dyDescent="0.25">
      <c r="A68" s="22" t="s">
        <v>52</v>
      </c>
      <c r="B68" s="22" t="s">
        <v>53</v>
      </c>
      <c r="C68" s="23">
        <v>310483850</v>
      </c>
      <c r="D68" s="24">
        <v>1.5</v>
      </c>
      <c r="E68" s="23">
        <v>465726</v>
      </c>
      <c r="F68" s="33">
        <f t="shared" si="2"/>
        <v>465725.77500000002</v>
      </c>
      <c r="G68" s="24">
        <v>0</v>
      </c>
      <c r="H68" s="23">
        <v>0</v>
      </c>
      <c r="I68" s="24">
        <v>5.0000000000000001E-3</v>
      </c>
      <c r="J68" s="23">
        <v>1552</v>
      </c>
      <c r="K68" s="24">
        <f t="shared" si="1"/>
        <v>1.5049999999999999</v>
      </c>
      <c r="L68" s="23">
        <f t="shared" si="1"/>
        <v>467278</v>
      </c>
    </row>
    <row r="69" spans="1:12" s="22" customFormat="1" x14ac:dyDescent="0.25">
      <c r="A69" s="22" t="s">
        <v>69</v>
      </c>
      <c r="B69" s="22" t="s">
        <v>70</v>
      </c>
      <c r="C69" s="23">
        <v>93201860</v>
      </c>
      <c r="D69" s="24">
        <v>1.9830000000000001</v>
      </c>
      <c r="E69" s="23">
        <v>184819</v>
      </c>
      <c r="F69" s="33">
        <f t="shared" si="2"/>
        <v>184819.28837999998</v>
      </c>
      <c r="G69" s="24">
        <v>0</v>
      </c>
      <c r="H69" s="23">
        <v>0</v>
      </c>
      <c r="I69" s="24">
        <v>0</v>
      </c>
      <c r="J69" s="23">
        <v>0</v>
      </c>
      <c r="K69" s="24">
        <f t="shared" si="1"/>
        <v>1.9830000000000001</v>
      </c>
      <c r="L69" s="23">
        <f t="shared" si="1"/>
        <v>184819</v>
      </c>
    </row>
    <row r="70" spans="1:12" s="22" customFormat="1" x14ac:dyDescent="0.25">
      <c r="A70" s="22" t="s">
        <v>24</v>
      </c>
      <c r="B70" s="22" t="s">
        <v>22</v>
      </c>
      <c r="C70" s="23">
        <v>121150740</v>
      </c>
      <c r="D70" s="24">
        <v>1.7110000000000001</v>
      </c>
      <c r="E70" s="23">
        <v>207289</v>
      </c>
      <c r="F70" s="33">
        <f t="shared" si="2"/>
        <v>207288.91614000002</v>
      </c>
      <c r="G70" s="24">
        <v>0</v>
      </c>
      <c r="H70" s="23">
        <v>0</v>
      </c>
      <c r="I70" s="24">
        <v>0</v>
      </c>
      <c r="J70" s="23">
        <v>0</v>
      </c>
      <c r="K70" s="24">
        <f t="shared" si="1"/>
        <v>1.7110000000000001</v>
      </c>
      <c r="L70" s="23">
        <f t="shared" si="1"/>
        <v>207289</v>
      </c>
    </row>
    <row r="71" spans="1:12" s="22" customFormat="1" x14ac:dyDescent="0.25">
      <c r="A71" s="22" t="s">
        <v>118</v>
      </c>
      <c r="B71" s="22" t="s">
        <v>57</v>
      </c>
      <c r="C71" s="25">
        <v>67728411</v>
      </c>
      <c r="D71" s="24">
        <v>5.85</v>
      </c>
      <c r="E71" s="23">
        <v>396211</v>
      </c>
      <c r="F71" s="36">
        <f t="shared" si="2"/>
        <v>396211.20434999996</v>
      </c>
      <c r="G71" s="24">
        <v>0</v>
      </c>
      <c r="H71" s="23">
        <v>0</v>
      </c>
      <c r="I71" s="24">
        <v>2.7E-2</v>
      </c>
      <c r="J71" s="23">
        <v>1829</v>
      </c>
      <c r="K71" s="24">
        <f t="shared" si="1"/>
        <v>5.8769999999999998</v>
      </c>
      <c r="L71" s="23">
        <f t="shared" si="1"/>
        <v>398040</v>
      </c>
    </row>
    <row r="72" spans="1:12" x14ac:dyDescent="0.25">
      <c r="C72"/>
      <c r="D72"/>
      <c r="E72"/>
      <c r="F72" s="27"/>
      <c r="G72"/>
      <c r="H72"/>
      <c r="I72"/>
      <c r="J72"/>
      <c r="K72"/>
      <c r="L72"/>
    </row>
    <row r="73" spans="1:12" x14ac:dyDescent="0.25">
      <c r="C73"/>
      <c r="D73"/>
      <c r="E73"/>
      <c r="F73" s="27"/>
      <c r="G73"/>
      <c r="H73"/>
      <c r="I73"/>
      <c r="J73"/>
      <c r="K73"/>
      <c r="L73"/>
    </row>
    <row r="74" spans="1:12" x14ac:dyDescent="0.25">
      <c r="C74"/>
      <c r="D74"/>
      <c r="E74"/>
      <c r="F74" s="27"/>
      <c r="G74"/>
      <c r="H74"/>
      <c r="I74"/>
      <c r="J74"/>
      <c r="K74"/>
      <c r="L74"/>
    </row>
    <row r="75" spans="1:12" x14ac:dyDescent="0.25">
      <c r="A75" t="s">
        <v>115</v>
      </c>
      <c r="C75" s="8"/>
      <c r="D75" s="12"/>
      <c r="E75" s="13"/>
      <c r="F75" s="31"/>
      <c r="H75" s="8"/>
      <c r="J75" s="8"/>
      <c r="L75" s="11"/>
    </row>
    <row r="76" spans="1:12" x14ac:dyDescent="0.25">
      <c r="C76" s="2"/>
      <c r="E76" s="20"/>
      <c r="F76" s="32"/>
    </row>
    <row r="77" spans="1:12" x14ac:dyDescent="0.25">
      <c r="B77" s="21"/>
      <c r="C77" s="8"/>
      <c r="E77" s="20"/>
      <c r="F77" s="32"/>
    </row>
    <row r="78" spans="1:12" x14ac:dyDescent="0.25">
      <c r="E78" s="20"/>
      <c r="F78" s="32"/>
    </row>
    <row r="79" spans="1:12" x14ac:dyDescent="0.25">
      <c r="A79" s="1"/>
      <c r="B79" s="2"/>
      <c r="E79" s="20"/>
      <c r="F79" s="32"/>
    </row>
    <row r="80" spans="1:12" x14ac:dyDescent="0.25">
      <c r="E80" s="20"/>
      <c r="F80" s="32"/>
    </row>
  </sheetData>
  <mergeCells count="6">
    <mergeCell ref="K3:L3"/>
    <mergeCell ref="D5:E5"/>
    <mergeCell ref="A1:C1"/>
    <mergeCell ref="D3:E3"/>
    <mergeCell ref="G3:H3"/>
    <mergeCell ref="I3:J3"/>
  </mergeCells>
  <conditionalFormatting sqref="A6:XFD71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2922-FB56-4758-A6D1-F8CF99F69FB2}">
  <dimension ref="A1:L80"/>
  <sheetViews>
    <sheetView topLeftCell="A39" workbookViewId="0">
      <selection activeCell="A67" sqref="A67:XFD67"/>
    </sheetView>
  </sheetViews>
  <sheetFormatPr defaultColWidth="8.7109375" defaultRowHeight="15" x14ac:dyDescent="0.25"/>
  <cols>
    <col min="1" max="1" width="66.28515625" style="34" customWidth="1"/>
    <col min="2" max="2" width="12.42578125" style="34" customWidth="1"/>
    <col min="3" max="3" width="26.28515625" style="38" customWidth="1"/>
    <col min="4" max="4" width="14.28515625" style="37" customWidth="1"/>
    <col min="5" max="5" width="19.42578125" style="38" customWidth="1"/>
    <col min="6" max="6" width="19.42578125" style="39" customWidth="1"/>
    <col min="7" max="7" width="25.7109375" style="37" customWidth="1"/>
    <col min="8" max="8" width="24.28515625" style="38" customWidth="1"/>
    <col min="9" max="9" width="12.28515625" style="37" customWidth="1"/>
    <col min="10" max="10" width="20.42578125" style="38" customWidth="1"/>
    <col min="11" max="11" width="13" style="37" customWidth="1"/>
    <col min="12" max="12" width="15.28515625" style="40" bestFit="1" customWidth="1"/>
    <col min="13" max="16384" width="8.7109375" style="34"/>
  </cols>
  <sheetData>
    <row r="1" spans="1:12" ht="16.5" thickBot="1" x14ac:dyDescent="0.3">
      <c r="A1" s="93" t="s">
        <v>126</v>
      </c>
      <c r="B1" s="94"/>
      <c r="C1" s="95"/>
    </row>
    <row r="2" spans="1:12" x14ac:dyDescent="0.25">
      <c r="C2" s="34"/>
      <c r="D2" s="34"/>
      <c r="E2" s="34"/>
      <c r="F2" s="41"/>
      <c r="G2" s="34"/>
      <c r="H2" s="34"/>
      <c r="I2" s="34"/>
      <c r="J2" s="34"/>
      <c r="K2" s="34"/>
      <c r="L2" s="34"/>
    </row>
    <row r="3" spans="1:12" x14ac:dyDescent="0.25">
      <c r="A3" s="42"/>
      <c r="C3" s="43"/>
      <c r="D3" s="96" t="s">
        <v>32</v>
      </c>
      <c r="E3" s="96"/>
      <c r="F3" s="45"/>
      <c r="G3" s="96" t="s">
        <v>62</v>
      </c>
      <c r="H3" s="96"/>
      <c r="I3" s="96" t="s">
        <v>46</v>
      </c>
      <c r="J3" s="96"/>
      <c r="K3" s="91" t="s">
        <v>47</v>
      </c>
      <c r="L3" s="91"/>
    </row>
    <row r="4" spans="1:12" x14ac:dyDescent="0.25">
      <c r="A4" s="44" t="s">
        <v>34</v>
      </c>
      <c r="B4" s="44" t="s">
        <v>48</v>
      </c>
      <c r="C4" s="47" t="s">
        <v>43</v>
      </c>
      <c r="D4" s="48" t="s">
        <v>44</v>
      </c>
      <c r="E4" s="47" t="s">
        <v>45</v>
      </c>
      <c r="F4" s="49"/>
      <c r="G4" s="48" t="s">
        <v>44</v>
      </c>
      <c r="H4" s="47" t="s">
        <v>45</v>
      </c>
      <c r="I4" s="48" t="s">
        <v>44</v>
      </c>
      <c r="J4" s="47" t="s">
        <v>45</v>
      </c>
      <c r="K4" s="48" t="s">
        <v>44</v>
      </c>
      <c r="L4" s="50" t="s">
        <v>45</v>
      </c>
    </row>
    <row r="5" spans="1:12" ht="15.75" thickBot="1" x14ac:dyDescent="0.3">
      <c r="A5" s="51"/>
      <c r="B5" s="51"/>
      <c r="C5" s="52"/>
      <c r="D5" s="92" t="s">
        <v>33</v>
      </c>
      <c r="E5" s="92"/>
      <c r="F5" s="54" t="s">
        <v>121</v>
      </c>
      <c r="G5" s="53"/>
      <c r="H5" s="53"/>
      <c r="I5" s="53"/>
      <c r="J5" s="53"/>
      <c r="K5" s="55"/>
      <c r="L5" s="53"/>
    </row>
    <row r="6" spans="1:12" s="22" customFormat="1" x14ac:dyDescent="0.25">
      <c r="A6" s="22" t="s">
        <v>42</v>
      </c>
      <c r="B6" s="22" t="s">
        <v>49</v>
      </c>
      <c r="C6" s="23">
        <v>4797780</v>
      </c>
      <c r="D6" s="24">
        <v>5.758</v>
      </c>
      <c r="E6" s="23">
        <v>27626</v>
      </c>
      <c r="F6" s="33">
        <f t="shared" ref="F6:F40" si="0">((D6/1000)*C6)</f>
        <v>27625.61724</v>
      </c>
      <c r="G6" s="24">
        <v>0</v>
      </c>
      <c r="H6" s="23">
        <v>0</v>
      </c>
      <c r="I6" s="24">
        <v>4.1000000000000002E-2</v>
      </c>
      <c r="J6" s="23">
        <v>197</v>
      </c>
      <c r="K6" s="24">
        <f>D6+G6+I6</f>
        <v>5.7990000000000004</v>
      </c>
      <c r="L6" s="23">
        <f>E6+H6+J6</f>
        <v>27823</v>
      </c>
    </row>
    <row r="7" spans="1:12" s="22" customFormat="1" x14ac:dyDescent="0.25">
      <c r="A7" s="22" t="s">
        <v>42</v>
      </c>
      <c r="B7" s="22" t="s">
        <v>51</v>
      </c>
      <c r="C7" s="23">
        <v>6795308368</v>
      </c>
      <c r="D7" s="24">
        <v>5.758</v>
      </c>
      <c r="E7" s="23">
        <v>39127386</v>
      </c>
      <c r="F7" s="33">
        <f t="shared" si="0"/>
        <v>39127385.582943998</v>
      </c>
      <c r="G7" s="24">
        <v>0</v>
      </c>
      <c r="H7" s="23">
        <v>0</v>
      </c>
      <c r="I7" s="24">
        <v>4.1000000000000002E-2</v>
      </c>
      <c r="J7" s="23">
        <v>278608</v>
      </c>
      <c r="K7" s="24">
        <f t="shared" ref="K7:L71" si="1">D7+G7+I7</f>
        <v>5.7990000000000004</v>
      </c>
      <c r="L7" s="23">
        <f t="shared" si="1"/>
        <v>39405994</v>
      </c>
    </row>
    <row r="8" spans="1:12" s="22" customFormat="1" x14ac:dyDescent="0.25">
      <c r="A8" s="22" t="s">
        <v>76</v>
      </c>
      <c r="B8" s="22" t="s">
        <v>77</v>
      </c>
      <c r="C8" s="23">
        <v>240367640</v>
      </c>
      <c r="D8" s="24">
        <v>2.61</v>
      </c>
      <c r="E8" s="23">
        <v>627360</v>
      </c>
      <c r="F8" s="33">
        <f t="shared" si="0"/>
        <v>627359.54039999994</v>
      </c>
      <c r="G8" s="24">
        <v>2.39</v>
      </c>
      <c r="H8" s="23">
        <v>574479</v>
      </c>
      <c r="I8" s="24">
        <f>0.816+0.066</f>
        <v>0.8819999999999999</v>
      </c>
      <c r="J8" s="23">
        <f>196140+15864</f>
        <v>212004</v>
      </c>
      <c r="K8" s="24">
        <f t="shared" si="1"/>
        <v>5.8819999999999997</v>
      </c>
      <c r="L8" s="23">
        <f t="shared" si="1"/>
        <v>1413843</v>
      </c>
    </row>
    <row r="9" spans="1:12" s="22" customFormat="1" x14ac:dyDescent="0.25">
      <c r="A9" s="22" t="s">
        <v>76</v>
      </c>
      <c r="B9" s="22" t="s">
        <v>10</v>
      </c>
      <c r="C9" s="23">
        <v>188551780</v>
      </c>
      <c r="D9" s="24">
        <v>2.61</v>
      </c>
      <c r="E9" s="23">
        <v>492120</v>
      </c>
      <c r="F9" s="33">
        <f t="shared" si="0"/>
        <v>492120.1458</v>
      </c>
      <c r="G9" s="24">
        <v>2.39</v>
      </c>
      <c r="H9" s="23">
        <v>450639</v>
      </c>
      <c r="I9" s="24">
        <f>0.816+0.066</f>
        <v>0.8819999999999999</v>
      </c>
      <c r="J9" s="23">
        <f>153858+12444</f>
        <v>166302</v>
      </c>
      <c r="K9" s="24">
        <f t="shared" si="1"/>
        <v>5.8819999999999997</v>
      </c>
      <c r="L9" s="23">
        <f t="shared" si="1"/>
        <v>1109061</v>
      </c>
    </row>
    <row r="10" spans="1:12" s="22" customFormat="1" x14ac:dyDescent="0.25">
      <c r="A10" s="22" t="s">
        <v>106</v>
      </c>
      <c r="B10" s="22" t="s">
        <v>107</v>
      </c>
      <c r="C10" s="23">
        <v>233349203</v>
      </c>
      <c r="D10" s="24">
        <v>2.4</v>
      </c>
      <c r="E10" s="23">
        <v>560038</v>
      </c>
      <c r="F10" s="33">
        <f t="shared" si="0"/>
        <v>560038.08719999995</v>
      </c>
      <c r="G10" s="24">
        <v>0</v>
      </c>
      <c r="H10" s="23">
        <v>0</v>
      </c>
      <c r="I10" s="24">
        <v>0</v>
      </c>
      <c r="J10" s="23">
        <v>0</v>
      </c>
      <c r="K10" s="24">
        <f t="shared" si="1"/>
        <v>2.4</v>
      </c>
      <c r="L10" s="23">
        <f t="shared" si="1"/>
        <v>560038</v>
      </c>
    </row>
    <row r="11" spans="1:12" s="22" customFormat="1" x14ac:dyDescent="0.25">
      <c r="A11" s="22" t="s">
        <v>65</v>
      </c>
      <c r="B11" s="22" t="s">
        <v>111</v>
      </c>
      <c r="C11" s="23">
        <v>364136650</v>
      </c>
      <c r="D11" s="24">
        <v>2</v>
      </c>
      <c r="E11" s="23">
        <v>728273</v>
      </c>
      <c r="F11" s="33">
        <f t="shared" si="0"/>
        <v>728273.3</v>
      </c>
      <c r="G11" s="24">
        <v>0</v>
      </c>
      <c r="H11" s="23">
        <v>0</v>
      </c>
      <c r="I11" s="24">
        <v>0</v>
      </c>
      <c r="J11" s="23">
        <v>0</v>
      </c>
      <c r="K11" s="24">
        <f t="shared" si="1"/>
        <v>2</v>
      </c>
      <c r="L11" s="23">
        <f t="shared" si="1"/>
        <v>728273</v>
      </c>
    </row>
    <row r="12" spans="1:12" s="22" customFormat="1" x14ac:dyDescent="0.25">
      <c r="A12" s="22" t="s">
        <v>36</v>
      </c>
      <c r="B12" s="22" t="s">
        <v>31</v>
      </c>
      <c r="C12" s="23">
        <v>1368785830</v>
      </c>
      <c r="D12" s="24">
        <v>3.5459999999999998</v>
      </c>
      <c r="E12" s="23">
        <v>4853715</v>
      </c>
      <c r="F12" s="33">
        <f t="shared" si="0"/>
        <v>4853714.5531799998</v>
      </c>
      <c r="G12" s="24">
        <v>0</v>
      </c>
      <c r="H12" s="23">
        <v>0</v>
      </c>
      <c r="I12" s="24">
        <v>0</v>
      </c>
      <c r="J12" s="23">
        <v>0</v>
      </c>
      <c r="K12" s="24">
        <f t="shared" si="1"/>
        <v>3.5459999999999998</v>
      </c>
      <c r="L12" s="23">
        <f t="shared" si="1"/>
        <v>4853715</v>
      </c>
    </row>
    <row r="13" spans="1:12" s="22" customFormat="1" x14ac:dyDescent="0.25">
      <c r="A13" s="22" t="s">
        <v>66</v>
      </c>
      <c r="B13" s="22" t="s">
        <v>37</v>
      </c>
      <c r="C13" s="23">
        <v>71401734</v>
      </c>
      <c r="D13" s="24">
        <v>2</v>
      </c>
      <c r="E13" s="23">
        <v>142803</v>
      </c>
      <c r="F13" s="33">
        <f t="shared" si="0"/>
        <v>142803.46799999999</v>
      </c>
      <c r="G13" s="24">
        <v>0</v>
      </c>
      <c r="H13" s="23">
        <v>0</v>
      </c>
      <c r="I13" s="24">
        <v>2.1000000000000001E-2</v>
      </c>
      <c r="J13" s="23">
        <v>1499</v>
      </c>
      <c r="K13" s="24">
        <f t="shared" si="1"/>
        <v>2.0209999999999999</v>
      </c>
      <c r="L13" s="23">
        <f t="shared" si="1"/>
        <v>144302</v>
      </c>
    </row>
    <row r="14" spans="1:12" s="22" customFormat="1" x14ac:dyDescent="0.25">
      <c r="A14" s="22" t="s">
        <v>67</v>
      </c>
      <c r="B14" s="22" t="s">
        <v>68</v>
      </c>
      <c r="C14" s="23">
        <v>125963580</v>
      </c>
      <c r="D14" s="24">
        <v>0.5</v>
      </c>
      <c r="E14" s="23">
        <v>62982</v>
      </c>
      <c r="F14" s="33">
        <f t="shared" si="0"/>
        <v>62981.79</v>
      </c>
      <c r="G14" s="24">
        <v>0</v>
      </c>
      <c r="H14" s="23">
        <v>0</v>
      </c>
      <c r="I14" s="24">
        <v>0</v>
      </c>
      <c r="J14" s="23">
        <v>0</v>
      </c>
      <c r="K14" s="24">
        <f t="shared" si="1"/>
        <v>0.5</v>
      </c>
      <c r="L14" s="23">
        <f t="shared" si="1"/>
        <v>62982</v>
      </c>
    </row>
    <row r="15" spans="1:12" s="22" customFormat="1" x14ac:dyDescent="0.25">
      <c r="A15" s="22" t="s">
        <v>71</v>
      </c>
      <c r="B15" s="22" t="s">
        <v>38</v>
      </c>
      <c r="C15" s="23">
        <v>329706845</v>
      </c>
      <c r="D15" s="24">
        <v>3</v>
      </c>
      <c r="E15" s="23">
        <v>989121</v>
      </c>
      <c r="F15" s="33">
        <f t="shared" si="0"/>
        <v>989120.53500000003</v>
      </c>
      <c r="G15" s="24">
        <v>0</v>
      </c>
      <c r="H15" s="23">
        <v>0</v>
      </c>
      <c r="I15" s="24">
        <v>0</v>
      </c>
      <c r="J15" s="23">
        <v>0</v>
      </c>
      <c r="K15" s="24">
        <f t="shared" si="1"/>
        <v>3</v>
      </c>
      <c r="L15" s="23">
        <f t="shared" si="1"/>
        <v>989121</v>
      </c>
    </row>
    <row r="16" spans="1:12" s="22" customFormat="1" x14ac:dyDescent="0.25">
      <c r="A16" s="22" t="s">
        <v>71</v>
      </c>
      <c r="B16" s="22" t="s">
        <v>4</v>
      </c>
      <c r="C16" s="23">
        <v>5332326</v>
      </c>
      <c r="D16" s="24">
        <v>3</v>
      </c>
      <c r="E16" s="23">
        <v>15997</v>
      </c>
      <c r="F16" s="33">
        <f t="shared" si="0"/>
        <v>15996.978000000001</v>
      </c>
      <c r="G16" s="24">
        <v>0</v>
      </c>
      <c r="H16" s="23">
        <v>0</v>
      </c>
      <c r="I16" s="24">
        <v>0</v>
      </c>
      <c r="J16" s="23">
        <v>0</v>
      </c>
      <c r="K16" s="24">
        <f t="shared" si="1"/>
        <v>3</v>
      </c>
      <c r="L16" s="23">
        <f t="shared" si="1"/>
        <v>15997</v>
      </c>
    </row>
    <row r="17" spans="1:12" s="22" customFormat="1" x14ac:dyDescent="0.25">
      <c r="A17" s="22" t="s">
        <v>72</v>
      </c>
      <c r="B17" s="22" t="s">
        <v>73</v>
      </c>
      <c r="C17" s="23">
        <v>121465928</v>
      </c>
      <c r="D17" s="24">
        <v>1</v>
      </c>
      <c r="E17" s="23">
        <v>121466</v>
      </c>
      <c r="F17" s="33">
        <f t="shared" si="0"/>
        <v>121465.928</v>
      </c>
      <c r="G17" s="24">
        <v>0</v>
      </c>
      <c r="H17" s="23">
        <v>0</v>
      </c>
      <c r="I17" s="24">
        <v>0</v>
      </c>
      <c r="J17" s="23">
        <v>0</v>
      </c>
      <c r="K17" s="24">
        <f t="shared" si="1"/>
        <v>1</v>
      </c>
      <c r="L17" s="23">
        <f t="shared" si="1"/>
        <v>121466</v>
      </c>
    </row>
    <row r="18" spans="1:12" s="22" customFormat="1" x14ac:dyDescent="0.25">
      <c r="A18" s="22" t="s">
        <v>1</v>
      </c>
      <c r="B18" s="22" t="s">
        <v>2</v>
      </c>
      <c r="C18" s="23">
        <v>59218500</v>
      </c>
      <c r="D18" s="24">
        <v>4.1559999999999997</v>
      </c>
      <c r="E18" s="23">
        <v>246112</v>
      </c>
      <c r="F18" s="33">
        <f t="shared" si="0"/>
        <v>246112.08600000001</v>
      </c>
      <c r="G18" s="24">
        <v>0</v>
      </c>
      <c r="H18" s="23">
        <v>0</v>
      </c>
      <c r="I18" s="24">
        <v>2E-3</v>
      </c>
      <c r="J18" s="23">
        <v>118</v>
      </c>
      <c r="K18" s="24">
        <f t="shared" si="1"/>
        <v>4.1579999999999995</v>
      </c>
      <c r="L18" s="23">
        <f t="shared" si="1"/>
        <v>246230</v>
      </c>
    </row>
    <row r="19" spans="1:12" s="22" customFormat="1" x14ac:dyDescent="0.25">
      <c r="A19" s="22" t="s">
        <v>120</v>
      </c>
      <c r="B19" s="22" t="s">
        <v>75</v>
      </c>
      <c r="C19" s="23">
        <v>7239081296</v>
      </c>
      <c r="D19" s="24">
        <v>4</v>
      </c>
      <c r="E19" s="23">
        <v>28956325</v>
      </c>
      <c r="F19" s="33">
        <f t="shared" si="0"/>
        <v>28956325.184</v>
      </c>
      <c r="G19" s="24">
        <v>0</v>
      </c>
      <c r="H19" s="23">
        <v>0</v>
      </c>
      <c r="I19" s="24">
        <v>2.3E-2</v>
      </c>
      <c r="J19" s="23">
        <v>166499</v>
      </c>
      <c r="K19" s="24">
        <f t="shared" si="1"/>
        <v>4.0229999999999997</v>
      </c>
      <c r="L19" s="23">
        <f t="shared" si="1"/>
        <v>29122824</v>
      </c>
    </row>
    <row r="20" spans="1:12" s="22" customFormat="1" x14ac:dyDescent="0.25">
      <c r="A20" s="22" t="s">
        <v>78</v>
      </c>
      <c r="B20" s="22" t="s">
        <v>77</v>
      </c>
      <c r="C20" s="23">
        <v>1972052090</v>
      </c>
      <c r="D20" s="24">
        <v>2.7629999999999999</v>
      </c>
      <c r="E20" s="23">
        <v>5448780</v>
      </c>
      <c r="F20" s="33">
        <f t="shared" si="0"/>
        <v>5448779.9246699996</v>
      </c>
      <c r="G20" s="24">
        <v>0</v>
      </c>
      <c r="H20" s="23">
        <v>0</v>
      </c>
      <c r="I20" s="24">
        <v>0</v>
      </c>
      <c r="J20" s="23">
        <v>0</v>
      </c>
      <c r="K20" s="24">
        <f t="shared" si="1"/>
        <v>2.7629999999999999</v>
      </c>
      <c r="L20" s="23">
        <f t="shared" si="1"/>
        <v>5448780</v>
      </c>
    </row>
    <row r="21" spans="1:12" s="22" customFormat="1" x14ac:dyDescent="0.25">
      <c r="A21" s="22" t="s">
        <v>63</v>
      </c>
      <c r="B21" s="22" t="s">
        <v>64</v>
      </c>
      <c r="C21" s="23">
        <v>84856566</v>
      </c>
      <c r="D21" s="24">
        <v>1</v>
      </c>
      <c r="E21" s="23">
        <v>84857</v>
      </c>
      <c r="F21" s="33">
        <f t="shared" si="0"/>
        <v>84856.566000000006</v>
      </c>
      <c r="G21" s="24">
        <v>0</v>
      </c>
      <c r="H21" s="23">
        <v>0</v>
      </c>
      <c r="I21" s="24">
        <v>0</v>
      </c>
      <c r="J21" s="23">
        <v>0</v>
      </c>
      <c r="K21" s="24">
        <f t="shared" si="1"/>
        <v>1</v>
      </c>
      <c r="L21" s="23">
        <f t="shared" si="1"/>
        <v>84857</v>
      </c>
    </row>
    <row r="22" spans="1:12" s="22" customFormat="1" x14ac:dyDescent="0.25">
      <c r="A22" s="22" t="s">
        <v>6</v>
      </c>
      <c r="B22" s="22" t="s">
        <v>7</v>
      </c>
      <c r="C22" s="23">
        <v>246987360</v>
      </c>
      <c r="D22" s="24">
        <v>3.5</v>
      </c>
      <c r="E22" s="23">
        <v>864456</v>
      </c>
      <c r="F22" s="33">
        <f t="shared" si="0"/>
        <v>864455.76</v>
      </c>
      <c r="G22" s="24">
        <v>0</v>
      </c>
      <c r="H22" s="23">
        <v>0</v>
      </c>
      <c r="I22" s="24">
        <v>0</v>
      </c>
      <c r="J22" s="23">
        <v>0</v>
      </c>
      <c r="K22" s="24">
        <f t="shared" si="1"/>
        <v>3.5</v>
      </c>
      <c r="L22" s="23">
        <f t="shared" si="1"/>
        <v>864456</v>
      </c>
    </row>
    <row r="23" spans="1:12" s="22" customFormat="1" x14ac:dyDescent="0.25">
      <c r="A23" s="22" t="s">
        <v>21</v>
      </c>
      <c r="B23" s="22" t="s">
        <v>22</v>
      </c>
      <c r="C23" s="23">
        <v>1029967620</v>
      </c>
      <c r="D23" s="24">
        <f>3.298-0.87</f>
        <v>2.4279999999999999</v>
      </c>
      <c r="E23" s="23">
        <f>3396833-896072</f>
        <v>2500761</v>
      </c>
      <c r="F23" s="33">
        <f t="shared" si="0"/>
        <v>2500761.38136</v>
      </c>
      <c r="G23" s="24">
        <v>0.90400000000000003</v>
      </c>
      <c r="H23" s="23">
        <v>931091</v>
      </c>
      <c r="I23" s="24">
        <v>4.0000000000000001E-3</v>
      </c>
      <c r="J23" s="23">
        <v>4120</v>
      </c>
      <c r="K23" s="24">
        <f t="shared" si="1"/>
        <v>3.3359999999999999</v>
      </c>
      <c r="L23" s="23">
        <f t="shared" si="1"/>
        <v>3435972</v>
      </c>
    </row>
    <row r="24" spans="1:12" s="22" customFormat="1" x14ac:dyDescent="0.25">
      <c r="A24" s="22" t="s">
        <v>79</v>
      </c>
      <c r="B24" s="22" t="s">
        <v>80</v>
      </c>
      <c r="C24" s="23">
        <v>420057640</v>
      </c>
      <c r="D24" s="24">
        <v>2.516</v>
      </c>
      <c r="E24" s="23">
        <v>1056865</v>
      </c>
      <c r="F24" s="33">
        <f t="shared" si="0"/>
        <v>1056865.0222400001</v>
      </c>
      <c r="G24" s="24">
        <v>0</v>
      </c>
      <c r="H24" s="23">
        <v>0</v>
      </c>
      <c r="I24" s="24">
        <v>0</v>
      </c>
      <c r="J24" s="23">
        <v>0</v>
      </c>
      <c r="K24" s="24">
        <f t="shared" si="1"/>
        <v>2.516</v>
      </c>
      <c r="L24" s="23">
        <f t="shared" si="1"/>
        <v>1056865</v>
      </c>
    </row>
    <row r="25" spans="1:12" s="22" customFormat="1" x14ac:dyDescent="0.25">
      <c r="A25" s="22" t="s">
        <v>108</v>
      </c>
      <c r="B25" s="22" t="s">
        <v>107</v>
      </c>
      <c r="C25" s="23">
        <v>415563454</v>
      </c>
      <c r="D25" s="24">
        <v>4.5199999999999996</v>
      </c>
      <c r="E25" s="23">
        <v>1878347</v>
      </c>
      <c r="F25" s="33">
        <f t="shared" si="0"/>
        <v>1878346.8120799998</v>
      </c>
      <c r="G25" s="24">
        <v>0</v>
      </c>
      <c r="H25" s="23">
        <v>0</v>
      </c>
      <c r="I25" s="24">
        <v>2.5999999999999999E-2</v>
      </c>
      <c r="J25" s="23">
        <v>10805</v>
      </c>
      <c r="K25" s="24">
        <f t="shared" si="1"/>
        <v>4.5459999999999994</v>
      </c>
      <c r="L25" s="23">
        <f t="shared" si="1"/>
        <v>1889152</v>
      </c>
    </row>
    <row r="26" spans="1:12" s="22" customFormat="1" x14ac:dyDescent="0.25">
      <c r="A26" s="22" t="s">
        <v>86</v>
      </c>
      <c r="B26" s="22" t="s">
        <v>87</v>
      </c>
      <c r="C26" s="25">
        <v>2497238590</v>
      </c>
      <c r="D26" s="24">
        <v>1.5</v>
      </c>
      <c r="E26" s="23">
        <v>3745858</v>
      </c>
      <c r="F26" s="33">
        <f t="shared" si="0"/>
        <v>3745857.8850000002</v>
      </c>
      <c r="G26" s="24">
        <v>0</v>
      </c>
      <c r="H26" s="23">
        <v>0</v>
      </c>
      <c r="I26" s="24">
        <f>1+0.005</f>
        <v>1.0049999999999999</v>
      </c>
      <c r="J26" s="23">
        <f>2497239+12486</f>
        <v>2509725</v>
      </c>
      <c r="K26" s="24">
        <f t="shared" si="1"/>
        <v>2.5049999999999999</v>
      </c>
      <c r="L26" s="23">
        <f t="shared" si="1"/>
        <v>6255583</v>
      </c>
    </row>
    <row r="27" spans="1:12" s="22" customFormat="1" x14ac:dyDescent="0.25">
      <c r="A27" s="22" t="s">
        <v>88</v>
      </c>
      <c r="B27" s="22" t="s">
        <v>89</v>
      </c>
      <c r="C27" s="23">
        <v>440433520</v>
      </c>
      <c r="D27" s="24">
        <v>0.23899999999999999</v>
      </c>
      <c r="E27" s="23">
        <v>105264</v>
      </c>
      <c r="F27" s="33">
        <f t="shared" si="0"/>
        <v>105263.61128</v>
      </c>
      <c r="G27" s="24">
        <v>0</v>
      </c>
      <c r="H27" s="23">
        <v>0</v>
      </c>
      <c r="I27" s="24">
        <v>0</v>
      </c>
      <c r="J27" s="23">
        <v>0</v>
      </c>
      <c r="K27" s="24">
        <f t="shared" si="1"/>
        <v>0.23899999999999999</v>
      </c>
      <c r="L27" s="23">
        <f t="shared" si="1"/>
        <v>105264</v>
      </c>
    </row>
    <row r="28" spans="1:12" s="22" customFormat="1" x14ac:dyDescent="0.25">
      <c r="A28" s="22" t="s">
        <v>90</v>
      </c>
      <c r="B28" s="22" t="s">
        <v>91</v>
      </c>
      <c r="C28" s="23">
        <v>794084850</v>
      </c>
      <c r="D28" s="24">
        <v>3.36</v>
      </c>
      <c r="E28" s="23">
        <v>2668125</v>
      </c>
      <c r="F28" s="33">
        <f t="shared" si="0"/>
        <v>2668125.0959999999</v>
      </c>
      <c r="G28" s="24">
        <v>0</v>
      </c>
      <c r="H28" s="23">
        <v>0</v>
      </c>
      <c r="I28" s="24">
        <v>2E-3</v>
      </c>
      <c r="J28" s="23">
        <v>1588</v>
      </c>
      <c r="K28" s="24">
        <f t="shared" si="1"/>
        <v>3.3619999999999997</v>
      </c>
      <c r="L28" s="23">
        <f t="shared" si="1"/>
        <v>2669713</v>
      </c>
    </row>
    <row r="29" spans="1:12" s="22" customFormat="1" x14ac:dyDescent="0.25">
      <c r="A29" s="22" t="s">
        <v>92</v>
      </c>
      <c r="B29" s="22" t="s">
        <v>93</v>
      </c>
      <c r="C29" s="23">
        <v>719471840</v>
      </c>
      <c r="D29" s="24">
        <v>1.627</v>
      </c>
      <c r="E29" s="23">
        <v>1170581</v>
      </c>
      <c r="F29" s="33">
        <f t="shared" si="0"/>
        <v>1170580.68368</v>
      </c>
      <c r="G29" s="24">
        <v>0</v>
      </c>
      <c r="H29" s="23">
        <v>0</v>
      </c>
      <c r="I29" s="24">
        <v>0</v>
      </c>
      <c r="J29" s="23">
        <v>0</v>
      </c>
      <c r="K29" s="24">
        <f t="shared" si="1"/>
        <v>1.627</v>
      </c>
      <c r="L29" s="23">
        <f t="shared" si="1"/>
        <v>1170581</v>
      </c>
    </row>
    <row r="30" spans="1:12" s="22" customFormat="1" x14ac:dyDescent="0.25">
      <c r="A30" s="22" t="s">
        <v>56</v>
      </c>
      <c r="B30" s="22" t="s">
        <v>57</v>
      </c>
      <c r="C30" s="23">
        <v>174700765</v>
      </c>
      <c r="D30" s="24">
        <v>3.177</v>
      </c>
      <c r="E30" s="23">
        <v>555024</v>
      </c>
      <c r="F30" s="33">
        <f t="shared" si="0"/>
        <v>555024.33040500002</v>
      </c>
      <c r="G30" s="24">
        <v>0</v>
      </c>
      <c r="H30" s="23">
        <v>0</v>
      </c>
      <c r="I30" s="24">
        <v>0.04</v>
      </c>
      <c r="J30" s="23">
        <v>6988</v>
      </c>
      <c r="K30" s="24">
        <f t="shared" si="1"/>
        <v>3.2170000000000001</v>
      </c>
      <c r="L30" s="23">
        <f t="shared" si="1"/>
        <v>562012</v>
      </c>
    </row>
    <row r="31" spans="1:12" s="22" customFormat="1" x14ac:dyDescent="0.25">
      <c r="A31" s="22" t="s">
        <v>56</v>
      </c>
      <c r="B31" s="22" t="s">
        <v>31</v>
      </c>
      <c r="C31" s="23">
        <v>14068186450</v>
      </c>
      <c r="D31" s="24">
        <v>3.177</v>
      </c>
      <c r="E31" s="23">
        <v>44694628</v>
      </c>
      <c r="F31" s="33">
        <f t="shared" si="0"/>
        <v>44694628.35165</v>
      </c>
      <c r="G31" s="24">
        <v>0</v>
      </c>
      <c r="H31" s="23">
        <v>0</v>
      </c>
      <c r="I31" s="24">
        <v>0.04</v>
      </c>
      <c r="J31" s="23">
        <v>562727</v>
      </c>
      <c r="K31" s="24">
        <f t="shared" si="1"/>
        <v>3.2170000000000001</v>
      </c>
      <c r="L31" s="23">
        <f t="shared" si="1"/>
        <v>45257355</v>
      </c>
    </row>
    <row r="32" spans="1:12" s="22" customFormat="1" x14ac:dyDescent="0.25">
      <c r="A32" s="22" t="s">
        <v>125</v>
      </c>
      <c r="B32" s="22" t="s">
        <v>94</v>
      </c>
      <c r="C32" s="23">
        <v>49036600</v>
      </c>
      <c r="D32" s="24">
        <v>1.75</v>
      </c>
      <c r="E32" s="23">
        <v>85814</v>
      </c>
      <c r="F32" s="33">
        <f t="shared" si="0"/>
        <v>85814.05</v>
      </c>
      <c r="G32" s="24">
        <v>0</v>
      </c>
      <c r="H32" s="23">
        <v>0</v>
      </c>
      <c r="I32" s="24">
        <v>0</v>
      </c>
      <c r="J32" s="23">
        <v>0</v>
      </c>
      <c r="K32" s="24">
        <f t="shared" si="1"/>
        <v>1.75</v>
      </c>
      <c r="L32" s="23">
        <f t="shared" si="1"/>
        <v>85814</v>
      </c>
    </row>
    <row r="33" spans="1:12" s="22" customFormat="1" x14ac:dyDescent="0.25">
      <c r="A33" s="22" t="s">
        <v>103</v>
      </c>
      <c r="B33" s="22" t="s">
        <v>104</v>
      </c>
      <c r="C33" s="23">
        <v>233981270</v>
      </c>
      <c r="D33" s="24">
        <v>1.5</v>
      </c>
      <c r="E33" s="23">
        <v>350972</v>
      </c>
      <c r="F33" s="33">
        <f t="shared" si="0"/>
        <v>350971.90500000003</v>
      </c>
      <c r="G33" s="24">
        <v>0</v>
      </c>
      <c r="H33" s="23">
        <v>0</v>
      </c>
      <c r="I33" s="24">
        <v>0</v>
      </c>
      <c r="J33" s="23">
        <v>0</v>
      </c>
      <c r="K33" s="24">
        <f t="shared" si="1"/>
        <v>1.5</v>
      </c>
      <c r="L33" s="23">
        <f t="shared" si="1"/>
        <v>350972</v>
      </c>
    </row>
    <row r="34" spans="1:12" s="22" customFormat="1" x14ac:dyDescent="0.25">
      <c r="A34" s="22" t="s">
        <v>112</v>
      </c>
      <c r="B34" s="22" t="s">
        <v>98</v>
      </c>
      <c r="C34" s="23">
        <v>97109106</v>
      </c>
      <c r="D34" s="24">
        <v>1.4119999999999999</v>
      </c>
      <c r="E34" s="23">
        <v>137118</v>
      </c>
      <c r="F34" s="33">
        <f t="shared" si="0"/>
        <v>137118.057672</v>
      </c>
      <c r="G34" s="24">
        <v>0</v>
      </c>
      <c r="H34" s="23">
        <v>0</v>
      </c>
      <c r="I34" s="24">
        <v>0</v>
      </c>
      <c r="J34" s="23">
        <v>0</v>
      </c>
      <c r="K34" s="24">
        <f t="shared" si="1"/>
        <v>1.4119999999999999</v>
      </c>
      <c r="L34" s="23">
        <f t="shared" si="1"/>
        <v>137118</v>
      </c>
    </row>
    <row r="35" spans="1:12" s="22" customFormat="1" x14ac:dyDescent="0.25">
      <c r="A35" s="22" t="s">
        <v>99</v>
      </c>
      <c r="B35" s="22" t="s">
        <v>100</v>
      </c>
      <c r="C35" s="23">
        <v>10899265508</v>
      </c>
      <c r="D35" s="24">
        <v>4.5</v>
      </c>
      <c r="E35" s="23">
        <v>49046695</v>
      </c>
      <c r="F35" s="33">
        <f t="shared" si="0"/>
        <v>49046694.785999998</v>
      </c>
      <c r="G35" s="24">
        <v>0</v>
      </c>
      <c r="H35" s="23">
        <v>0</v>
      </c>
      <c r="I35" s="24">
        <v>0</v>
      </c>
      <c r="J35" s="23">
        <v>0</v>
      </c>
      <c r="K35" s="24">
        <f t="shared" si="1"/>
        <v>4.5</v>
      </c>
      <c r="L35" s="23">
        <f t="shared" si="1"/>
        <v>49046695</v>
      </c>
    </row>
    <row r="36" spans="1:12" s="22" customFormat="1" x14ac:dyDescent="0.25">
      <c r="A36" s="22" t="s">
        <v>83</v>
      </c>
      <c r="B36" s="22" t="s">
        <v>84</v>
      </c>
      <c r="C36" s="23">
        <v>102851591</v>
      </c>
      <c r="D36" s="24">
        <v>2</v>
      </c>
      <c r="E36" s="23">
        <v>205703</v>
      </c>
      <c r="F36" s="33">
        <f t="shared" si="0"/>
        <v>205703.182</v>
      </c>
      <c r="G36" s="24">
        <v>0</v>
      </c>
      <c r="H36" s="23">
        <v>0</v>
      </c>
      <c r="I36" s="24">
        <v>6.3E-2</v>
      </c>
      <c r="J36" s="23">
        <v>6480</v>
      </c>
      <c r="K36" s="24">
        <f t="shared" si="1"/>
        <v>2.0630000000000002</v>
      </c>
      <c r="L36" s="23">
        <f t="shared" si="1"/>
        <v>212183</v>
      </c>
    </row>
    <row r="37" spans="1:12" s="22" customFormat="1" x14ac:dyDescent="0.25">
      <c r="A37" s="22" t="s">
        <v>101</v>
      </c>
      <c r="B37" s="22" t="s">
        <v>102</v>
      </c>
      <c r="C37" s="23">
        <v>40043880</v>
      </c>
      <c r="D37" s="24">
        <v>1.5</v>
      </c>
      <c r="E37" s="23">
        <v>60066</v>
      </c>
      <c r="F37" s="33">
        <f t="shared" si="0"/>
        <v>60065.82</v>
      </c>
      <c r="G37" s="24">
        <v>0</v>
      </c>
      <c r="H37" s="23">
        <v>0</v>
      </c>
      <c r="I37" s="24">
        <v>0</v>
      </c>
      <c r="J37" s="23">
        <v>0</v>
      </c>
      <c r="K37" s="24">
        <f t="shared" si="1"/>
        <v>1.5</v>
      </c>
      <c r="L37" s="23">
        <f t="shared" si="1"/>
        <v>60066</v>
      </c>
    </row>
    <row r="38" spans="1:12" s="22" customFormat="1" x14ac:dyDescent="0.25">
      <c r="A38" s="22" t="s">
        <v>95</v>
      </c>
      <c r="B38" s="22" t="s">
        <v>96</v>
      </c>
      <c r="C38" s="23">
        <v>32116001</v>
      </c>
      <c r="D38" s="24">
        <v>5.91</v>
      </c>
      <c r="E38" s="23">
        <v>189806</v>
      </c>
      <c r="F38" s="33">
        <f t="shared" si="0"/>
        <v>189805.56591</v>
      </c>
      <c r="G38" s="24">
        <v>0</v>
      </c>
      <c r="H38" s="23">
        <v>0</v>
      </c>
      <c r="I38" s="24">
        <v>8.0000000000000002E-3</v>
      </c>
      <c r="J38" s="23">
        <v>257</v>
      </c>
      <c r="K38" s="24">
        <f t="shared" si="1"/>
        <v>5.9180000000000001</v>
      </c>
      <c r="L38" s="23">
        <f t="shared" si="1"/>
        <v>190063</v>
      </c>
    </row>
    <row r="39" spans="1:12" s="22" customFormat="1" x14ac:dyDescent="0.25">
      <c r="A39" s="22" t="s">
        <v>54</v>
      </c>
      <c r="B39" s="22" t="s">
        <v>55</v>
      </c>
      <c r="C39" s="23">
        <v>65335970</v>
      </c>
      <c r="D39" s="24">
        <v>1.5</v>
      </c>
      <c r="E39" s="23">
        <v>98004</v>
      </c>
      <c r="F39" s="33">
        <f t="shared" si="0"/>
        <v>98003.955000000002</v>
      </c>
      <c r="G39" s="24">
        <v>0</v>
      </c>
      <c r="H39" s="23">
        <v>0</v>
      </c>
      <c r="I39" s="24">
        <v>0</v>
      </c>
      <c r="J39" s="23">
        <v>0</v>
      </c>
      <c r="K39" s="24">
        <f t="shared" si="1"/>
        <v>1.5</v>
      </c>
      <c r="L39" s="23">
        <f t="shared" si="1"/>
        <v>98004</v>
      </c>
    </row>
    <row r="40" spans="1:12" s="22" customFormat="1" x14ac:dyDescent="0.25">
      <c r="A40" s="22" t="s">
        <v>118</v>
      </c>
      <c r="B40" s="22" t="s">
        <v>119</v>
      </c>
      <c r="C40" s="23">
        <v>13725947</v>
      </c>
      <c r="D40" s="24">
        <v>5.85</v>
      </c>
      <c r="E40" s="23">
        <v>80297</v>
      </c>
      <c r="F40" s="33">
        <f t="shared" si="0"/>
        <v>80296.789949999991</v>
      </c>
      <c r="G40" s="24">
        <v>0</v>
      </c>
      <c r="H40" s="23">
        <v>0</v>
      </c>
      <c r="I40" s="24">
        <v>8.0000000000000002E-3</v>
      </c>
      <c r="J40" s="23">
        <v>110</v>
      </c>
      <c r="K40" s="24">
        <f t="shared" si="1"/>
        <v>5.8579999999999997</v>
      </c>
      <c r="L40" s="23">
        <f t="shared" si="1"/>
        <v>80407</v>
      </c>
    </row>
    <row r="41" spans="1:12" s="22" customFormat="1" x14ac:dyDescent="0.25">
      <c r="A41" s="22" t="s">
        <v>3</v>
      </c>
      <c r="B41" s="22" t="s">
        <v>2</v>
      </c>
      <c r="C41" s="23">
        <v>49801250</v>
      </c>
      <c r="D41" s="24">
        <v>8</v>
      </c>
      <c r="E41" s="23">
        <v>398410</v>
      </c>
      <c r="F41" s="33">
        <f>((D41/1000)*C41)</f>
        <v>398410</v>
      </c>
      <c r="G41" s="24">
        <v>0</v>
      </c>
      <c r="H41" s="23">
        <v>0</v>
      </c>
      <c r="I41" s="24">
        <v>1.2E-2</v>
      </c>
      <c r="J41" s="23">
        <v>598</v>
      </c>
      <c r="K41" s="24">
        <f t="shared" si="1"/>
        <v>8.0120000000000005</v>
      </c>
      <c r="L41" s="23">
        <f t="shared" si="1"/>
        <v>399008</v>
      </c>
    </row>
    <row r="42" spans="1:12" s="22" customFormat="1" x14ac:dyDescent="0.25">
      <c r="A42" s="22" t="s">
        <v>16</v>
      </c>
      <c r="B42" s="22" t="s">
        <v>17</v>
      </c>
      <c r="C42" s="23">
        <v>584179890</v>
      </c>
      <c r="D42" s="24">
        <v>2.032</v>
      </c>
      <c r="E42" s="23">
        <v>1187054</v>
      </c>
      <c r="F42" s="33">
        <f t="shared" ref="F42:F71" si="2">((D42/1000)*C42)</f>
        <v>1187053.53648</v>
      </c>
      <c r="G42" s="24">
        <v>0</v>
      </c>
      <c r="H42" s="23">
        <v>0</v>
      </c>
      <c r="I42" s="24">
        <v>0</v>
      </c>
      <c r="J42" s="23">
        <v>0</v>
      </c>
      <c r="K42" s="24">
        <f t="shared" si="1"/>
        <v>2.032</v>
      </c>
      <c r="L42" s="23">
        <f t="shared" si="1"/>
        <v>1187054</v>
      </c>
    </row>
    <row r="43" spans="1:12" s="22" customFormat="1" x14ac:dyDescent="0.25">
      <c r="A43" s="22" t="s">
        <v>110</v>
      </c>
      <c r="B43" s="22" t="s">
        <v>0</v>
      </c>
      <c r="C43" s="23">
        <v>2201392670</v>
      </c>
      <c r="D43" s="24">
        <v>3</v>
      </c>
      <c r="E43" s="23">
        <v>6604178</v>
      </c>
      <c r="F43" s="33">
        <f t="shared" si="2"/>
        <v>6604178.0099999998</v>
      </c>
      <c r="G43" s="24">
        <v>0</v>
      </c>
      <c r="H43" s="23">
        <v>0</v>
      </c>
      <c r="I43" s="24">
        <v>7.0000000000000001E-3</v>
      </c>
      <c r="J43" s="23">
        <v>15410</v>
      </c>
      <c r="K43" s="24">
        <f t="shared" si="1"/>
        <v>3.0070000000000001</v>
      </c>
      <c r="L43" s="23">
        <f t="shared" si="1"/>
        <v>6619588</v>
      </c>
    </row>
    <row r="44" spans="1:12" s="22" customFormat="1" x14ac:dyDescent="0.25">
      <c r="A44" s="22" t="s">
        <v>5</v>
      </c>
      <c r="B44" s="22" t="s">
        <v>4</v>
      </c>
      <c r="C44" s="23">
        <v>590962432</v>
      </c>
      <c r="D44" s="24">
        <v>3.85</v>
      </c>
      <c r="E44" s="23">
        <v>2275205</v>
      </c>
      <c r="F44" s="33">
        <f t="shared" si="2"/>
        <v>2275205.3632</v>
      </c>
      <c r="G44" s="24">
        <v>0</v>
      </c>
      <c r="H44" s="23">
        <v>0</v>
      </c>
      <c r="I44" s="24">
        <v>0</v>
      </c>
      <c r="J44" s="23">
        <v>0</v>
      </c>
      <c r="K44" s="24">
        <f t="shared" si="1"/>
        <v>3.85</v>
      </c>
      <c r="L44" s="23">
        <f t="shared" si="1"/>
        <v>2275205</v>
      </c>
    </row>
    <row r="45" spans="1:12" s="22" customFormat="1" x14ac:dyDescent="0.25">
      <c r="A45" s="22" t="s">
        <v>58</v>
      </c>
      <c r="B45" s="22" t="s">
        <v>57</v>
      </c>
      <c r="C45" s="23">
        <v>82437613</v>
      </c>
      <c r="D45" s="24">
        <v>4.4000000000000004</v>
      </c>
      <c r="E45" s="23">
        <v>362725</v>
      </c>
      <c r="F45" s="33">
        <f t="shared" si="2"/>
        <v>362725.49720000004</v>
      </c>
      <c r="G45" s="24">
        <v>1.623</v>
      </c>
      <c r="H45" s="23">
        <v>133796</v>
      </c>
      <c r="I45" s="24">
        <v>0</v>
      </c>
      <c r="J45" s="23">
        <v>0</v>
      </c>
      <c r="K45" s="24">
        <f t="shared" si="1"/>
        <v>6.0230000000000006</v>
      </c>
      <c r="L45" s="23">
        <f t="shared" si="1"/>
        <v>496521</v>
      </c>
    </row>
    <row r="46" spans="1:12" s="22" customFormat="1" x14ac:dyDescent="0.25">
      <c r="A46" s="22" t="s">
        <v>59</v>
      </c>
      <c r="B46" s="22" t="s">
        <v>60</v>
      </c>
      <c r="C46" s="23">
        <v>227527770</v>
      </c>
      <c r="D46" s="24">
        <v>2.5</v>
      </c>
      <c r="E46" s="23">
        <v>568819</v>
      </c>
      <c r="F46" s="33">
        <f t="shared" si="2"/>
        <v>568819.42500000005</v>
      </c>
      <c r="G46" s="24">
        <v>0</v>
      </c>
      <c r="H46" s="23">
        <v>0</v>
      </c>
      <c r="I46" s="24">
        <v>0</v>
      </c>
      <c r="J46" s="23">
        <v>0</v>
      </c>
      <c r="K46" s="24">
        <f t="shared" si="1"/>
        <v>2.5</v>
      </c>
      <c r="L46" s="23">
        <f t="shared" si="1"/>
        <v>568819</v>
      </c>
    </row>
    <row r="47" spans="1:12" s="22" customFormat="1" x14ac:dyDescent="0.25">
      <c r="A47" s="22" t="s">
        <v>122</v>
      </c>
      <c r="B47" s="22" t="s">
        <v>8</v>
      </c>
      <c r="C47" s="23">
        <v>62905080</v>
      </c>
      <c r="D47" s="24">
        <v>1.5</v>
      </c>
      <c r="E47" s="23">
        <v>94538</v>
      </c>
      <c r="F47" s="33">
        <f t="shared" si="2"/>
        <v>94357.62</v>
      </c>
      <c r="G47" s="24">
        <v>0</v>
      </c>
      <c r="H47" s="23">
        <v>0</v>
      </c>
      <c r="I47" s="24">
        <v>0</v>
      </c>
      <c r="J47" s="23">
        <v>0</v>
      </c>
      <c r="K47" s="24">
        <f t="shared" si="1"/>
        <v>1.5</v>
      </c>
      <c r="L47" s="23">
        <f t="shared" si="1"/>
        <v>94538</v>
      </c>
    </row>
    <row r="48" spans="1:12" s="22" customFormat="1" ht="14.25" customHeight="1" x14ac:dyDescent="0.25">
      <c r="A48" s="22" t="s">
        <v>85</v>
      </c>
      <c r="B48" s="22" t="s">
        <v>84</v>
      </c>
      <c r="C48" s="23">
        <v>35224897</v>
      </c>
      <c r="D48" s="24">
        <v>5.508</v>
      </c>
      <c r="E48" s="23">
        <v>194019</v>
      </c>
      <c r="F48" s="33">
        <f t="shared" si="2"/>
        <v>194018.73267599999</v>
      </c>
      <c r="G48" s="24">
        <v>0</v>
      </c>
      <c r="H48" s="23">
        <v>0</v>
      </c>
      <c r="I48" s="24">
        <v>0</v>
      </c>
      <c r="J48" s="23">
        <v>0</v>
      </c>
      <c r="K48" s="24">
        <f t="shared" si="1"/>
        <v>5.508</v>
      </c>
      <c r="L48" s="23">
        <f t="shared" si="1"/>
        <v>194019</v>
      </c>
    </row>
    <row r="49" spans="1:12" s="22" customFormat="1" x14ac:dyDescent="0.25">
      <c r="A49" s="22" t="s">
        <v>81</v>
      </c>
      <c r="B49" s="22" t="s">
        <v>82</v>
      </c>
      <c r="C49" s="23">
        <v>8246468310</v>
      </c>
      <c r="D49" s="24">
        <v>3.6880000000000002</v>
      </c>
      <c r="E49" s="23">
        <v>30412975</v>
      </c>
      <c r="F49" s="33">
        <f t="shared" si="2"/>
        <v>30412975.127280004</v>
      </c>
      <c r="G49" s="24">
        <v>0</v>
      </c>
      <c r="H49" s="23">
        <v>0</v>
      </c>
      <c r="I49" s="24">
        <v>4.2999999999999997E-2</v>
      </c>
      <c r="J49" s="23">
        <v>354598</v>
      </c>
      <c r="K49" s="24">
        <f t="shared" si="1"/>
        <v>3.7310000000000003</v>
      </c>
      <c r="L49" s="23">
        <f t="shared" si="1"/>
        <v>30767573</v>
      </c>
    </row>
    <row r="50" spans="1:12" s="22" customFormat="1" x14ac:dyDescent="0.25">
      <c r="A50" s="22" t="s">
        <v>105</v>
      </c>
      <c r="B50" s="22" t="s">
        <v>104</v>
      </c>
      <c r="C50" s="23">
        <v>229271770</v>
      </c>
      <c r="D50" s="24">
        <v>4</v>
      </c>
      <c r="E50" s="23">
        <v>917087</v>
      </c>
      <c r="F50" s="33">
        <f t="shared" si="2"/>
        <v>917087.08000000007</v>
      </c>
      <c r="G50" s="24">
        <v>0</v>
      </c>
      <c r="H50" s="23">
        <v>0</v>
      </c>
      <c r="I50" s="24">
        <v>0</v>
      </c>
      <c r="J50" s="23">
        <v>0</v>
      </c>
      <c r="K50" s="24">
        <f t="shared" si="1"/>
        <v>4</v>
      </c>
      <c r="L50" s="23">
        <f t="shared" si="1"/>
        <v>917087</v>
      </c>
    </row>
    <row r="51" spans="1:12" s="22" customFormat="1" x14ac:dyDescent="0.25">
      <c r="A51" s="22" t="s">
        <v>11</v>
      </c>
      <c r="B51" s="22" t="s">
        <v>10</v>
      </c>
      <c r="C51" s="23">
        <v>3237943220</v>
      </c>
      <c r="D51" s="24">
        <f>1.625-0.251</f>
        <v>1.3740000000000001</v>
      </c>
      <c r="E51" s="23">
        <f>5261658-812724</f>
        <v>4448934</v>
      </c>
      <c r="F51" s="33">
        <f>((D51/1000)*C51)</f>
        <v>4448933.9842800004</v>
      </c>
      <c r="G51" s="24">
        <v>0</v>
      </c>
      <c r="H51" s="23">
        <v>0</v>
      </c>
      <c r="I51" s="24">
        <v>3.0000000000000001E-3</v>
      </c>
      <c r="J51" s="23">
        <v>9714</v>
      </c>
      <c r="K51" s="24">
        <f t="shared" si="1"/>
        <v>1.377</v>
      </c>
      <c r="L51" s="23">
        <f t="shared" si="1"/>
        <v>4458648</v>
      </c>
    </row>
    <row r="52" spans="1:12" s="22" customFormat="1" x14ac:dyDescent="0.25">
      <c r="A52" s="22" t="s">
        <v>35</v>
      </c>
      <c r="B52" s="22" t="s">
        <v>107</v>
      </c>
      <c r="C52" s="23">
        <v>3841820696</v>
      </c>
      <c r="D52" s="24">
        <v>3</v>
      </c>
      <c r="E52" s="23">
        <v>11525462</v>
      </c>
      <c r="F52" s="33">
        <f t="shared" si="2"/>
        <v>11525462.088</v>
      </c>
      <c r="G52" s="24">
        <v>0</v>
      </c>
      <c r="H52" s="23">
        <v>0</v>
      </c>
      <c r="I52" s="24">
        <v>0</v>
      </c>
      <c r="J52" s="23">
        <v>0</v>
      </c>
      <c r="K52" s="24">
        <f t="shared" si="1"/>
        <v>3</v>
      </c>
      <c r="L52" s="23">
        <f t="shared" si="1"/>
        <v>11525462</v>
      </c>
    </row>
    <row r="53" spans="1:12" s="22" customFormat="1" x14ac:dyDescent="0.25">
      <c r="A53" s="22" t="s">
        <v>12</v>
      </c>
      <c r="B53" s="22" t="s">
        <v>13</v>
      </c>
      <c r="C53" s="23">
        <v>138347274</v>
      </c>
      <c r="D53" s="24">
        <v>0</v>
      </c>
      <c r="E53" s="23">
        <v>0</v>
      </c>
      <c r="F53" s="33">
        <f t="shared" si="2"/>
        <v>0</v>
      </c>
      <c r="G53" s="24">
        <v>0</v>
      </c>
      <c r="H53" s="23">
        <v>0</v>
      </c>
      <c r="I53" s="24">
        <v>0</v>
      </c>
      <c r="J53" s="23">
        <v>0</v>
      </c>
      <c r="K53" s="24">
        <f t="shared" si="1"/>
        <v>0</v>
      </c>
      <c r="L53" s="23">
        <f t="shared" si="1"/>
        <v>0</v>
      </c>
    </row>
    <row r="54" spans="1:12" s="22" customFormat="1" x14ac:dyDescent="0.25">
      <c r="A54" s="22" t="s">
        <v>14</v>
      </c>
      <c r="B54" s="22" t="s">
        <v>15</v>
      </c>
      <c r="C54" s="23">
        <v>1906776371</v>
      </c>
      <c r="D54" s="24">
        <v>5.85</v>
      </c>
      <c r="E54" s="23">
        <v>11154642</v>
      </c>
      <c r="F54" s="33">
        <f t="shared" si="2"/>
        <v>11154641.770349998</v>
      </c>
      <c r="G54" s="24">
        <v>0</v>
      </c>
      <c r="H54" s="23">
        <v>0</v>
      </c>
      <c r="I54" s="24">
        <v>1.4999999999999999E-2</v>
      </c>
      <c r="J54" s="23">
        <v>28602</v>
      </c>
      <c r="K54" s="24">
        <f t="shared" si="1"/>
        <v>5.8649999999999993</v>
      </c>
      <c r="L54" s="23">
        <f t="shared" si="1"/>
        <v>11183244</v>
      </c>
    </row>
    <row r="55" spans="1:12" s="22" customFormat="1" x14ac:dyDescent="0.25">
      <c r="A55" s="22" t="s">
        <v>28</v>
      </c>
      <c r="B55" s="22" t="s">
        <v>29</v>
      </c>
      <c r="C55" s="23">
        <v>303963710</v>
      </c>
      <c r="D55" s="24">
        <v>4.1189999999999998</v>
      </c>
      <c r="E55" s="23">
        <v>1252027</v>
      </c>
      <c r="F55" s="33">
        <f>((D55/1000)*C55)</f>
        <v>1252026.5214899997</v>
      </c>
      <c r="G55" s="24">
        <v>0</v>
      </c>
      <c r="H55" s="23">
        <v>0</v>
      </c>
      <c r="I55" s="24">
        <v>2E-3</v>
      </c>
      <c r="J55" s="23">
        <v>608</v>
      </c>
      <c r="K55" s="24">
        <f t="shared" si="1"/>
        <v>4.1209999999999996</v>
      </c>
      <c r="L55" s="23">
        <f t="shared" si="1"/>
        <v>1252635</v>
      </c>
    </row>
    <row r="56" spans="1:12" s="22" customFormat="1" x14ac:dyDescent="0.25">
      <c r="A56" s="22" t="s">
        <v>18</v>
      </c>
      <c r="B56" s="22" t="s">
        <v>17</v>
      </c>
      <c r="C56" s="23">
        <v>286251660</v>
      </c>
      <c r="D56" s="24">
        <v>0.5</v>
      </c>
      <c r="E56" s="23">
        <v>143126</v>
      </c>
      <c r="F56" s="33">
        <f t="shared" si="2"/>
        <v>143125.83000000002</v>
      </c>
      <c r="G56" s="24">
        <v>0</v>
      </c>
      <c r="H56" s="23">
        <v>0</v>
      </c>
      <c r="I56" s="24">
        <v>0</v>
      </c>
      <c r="J56" s="23">
        <v>0</v>
      </c>
      <c r="K56" s="24">
        <f t="shared" si="1"/>
        <v>0.5</v>
      </c>
      <c r="L56" s="23">
        <f t="shared" si="1"/>
        <v>143126</v>
      </c>
    </row>
    <row r="57" spans="1:12" s="22" customFormat="1" x14ac:dyDescent="0.25">
      <c r="A57" s="22" t="s">
        <v>50</v>
      </c>
      <c r="B57" s="22" t="s">
        <v>49</v>
      </c>
      <c r="C57" s="23">
        <v>6258928100</v>
      </c>
      <c r="D57" s="24">
        <v>3.6589999999999998</v>
      </c>
      <c r="E57" s="23">
        <v>22901418</v>
      </c>
      <c r="F57" s="33">
        <f t="shared" si="2"/>
        <v>22901417.9179</v>
      </c>
      <c r="G57" s="24">
        <v>0</v>
      </c>
      <c r="H57" s="23">
        <v>0</v>
      </c>
      <c r="I57" s="24">
        <v>1.7999999999999999E-2</v>
      </c>
      <c r="J57" s="23">
        <v>112661</v>
      </c>
      <c r="K57" s="24">
        <f t="shared" si="1"/>
        <v>3.6769999999999996</v>
      </c>
      <c r="L57" s="23">
        <f t="shared" si="1"/>
        <v>23014079</v>
      </c>
    </row>
    <row r="58" spans="1:12" s="22" customFormat="1" x14ac:dyDescent="0.25">
      <c r="A58" s="22" t="s">
        <v>109</v>
      </c>
      <c r="B58" s="22" t="s">
        <v>107</v>
      </c>
      <c r="C58" s="23">
        <v>67985902</v>
      </c>
      <c r="D58" s="24">
        <v>4.75</v>
      </c>
      <c r="E58" s="23">
        <v>322933</v>
      </c>
      <c r="F58" s="33">
        <f t="shared" si="2"/>
        <v>322933.03450000001</v>
      </c>
      <c r="G58" s="24">
        <v>0</v>
      </c>
      <c r="H58" s="23">
        <v>0</v>
      </c>
      <c r="I58" s="24">
        <v>0</v>
      </c>
      <c r="J58" s="23">
        <v>0</v>
      </c>
      <c r="K58" s="24">
        <f t="shared" si="1"/>
        <v>4.75</v>
      </c>
      <c r="L58" s="23">
        <f t="shared" si="1"/>
        <v>322933</v>
      </c>
    </row>
    <row r="59" spans="1:12" s="22" customFormat="1" x14ac:dyDescent="0.25">
      <c r="A59" s="22" t="s">
        <v>9</v>
      </c>
      <c r="B59" s="22" t="s">
        <v>8</v>
      </c>
      <c r="C59" s="23">
        <v>109607020</v>
      </c>
      <c r="D59" s="24">
        <v>2.8</v>
      </c>
      <c r="E59" s="23">
        <v>306900</v>
      </c>
      <c r="F59" s="33">
        <f t="shared" si="2"/>
        <v>306899.65600000002</v>
      </c>
      <c r="G59" s="24">
        <v>0</v>
      </c>
      <c r="H59" s="23">
        <v>0</v>
      </c>
      <c r="I59" s="24">
        <v>3.0000000000000001E-3</v>
      </c>
      <c r="J59" s="23">
        <v>329</v>
      </c>
      <c r="K59" s="24">
        <f t="shared" si="1"/>
        <v>2.8029999999999999</v>
      </c>
      <c r="L59" s="23">
        <f t="shared" si="1"/>
        <v>307229</v>
      </c>
    </row>
    <row r="60" spans="1:12" s="22" customFormat="1" x14ac:dyDescent="0.25">
      <c r="A60" s="22" t="s">
        <v>19</v>
      </c>
      <c r="B60" s="22" t="s">
        <v>20</v>
      </c>
      <c r="C60" s="23">
        <v>198372883</v>
      </c>
      <c r="D60" s="24">
        <v>1.5</v>
      </c>
      <c r="E60" s="23">
        <v>297559</v>
      </c>
      <c r="F60" s="33">
        <f t="shared" si="2"/>
        <v>297559.32449999999</v>
      </c>
      <c r="G60" s="24">
        <v>0</v>
      </c>
      <c r="H60" s="23">
        <v>0</v>
      </c>
      <c r="I60" s="24">
        <v>0</v>
      </c>
      <c r="J60" s="23">
        <v>0</v>
      </c>
      <c r="K60" s="24">
        <f t="shared" si="1"/>
        <v>1.5</v>
      </c>
      <c r="L60" s="23">
        <f t="shared" si="1"/>
        <v>297559</v>
      </c>
    </row>
    <row r="61" spans="1:12" s="22" customFormat="1" x14ac:dyDescent="0.25">
      <c r="A61" s="22" t="s">
        <v>127</v>
      </c>
      <c r="B61" s="22" t="s">
        <v>60</v>
      </c>
      <c r="C61" s="23">
        <v>267792340</v>
      </c>
      <c r="D61" s="24">
        <v>3.5</v>
      </c>
      <c r="E61" s="23">
        <v>937273</v>
      </c>
      <c r="F61" s="33">
        <f t="shared" si="2"/>
        <v>937273.19000000006</v>
      </c>
      <c r="G61" s="24">
        <v>0</v>
      </c>
      <c r="H61" s="23">
        <v>0</v>
      </c>
      <c r="I61" s="24">
        <v>3.0000000000000001E-3</v>
      </c>
      <c r="J61" s="23">
        <v>803</v>
      </c>
      <c r="K61" s="24">
        <f t="shared" si="1"/>
        <v>3.5030000000000001</v>
      </c>
      <c r="L61" s="23">
        <f t="shared" si="1"/>
        <v>938076</v>
      </c>
    </row>
    <row r="62" spans="1:12" s="22" customFormat="1" x14ac:dyDescent="0.25">
      <c r="A62" s="22" t="s">
        <v>30</v>
      </c>
      <c r="B62" s="22" t="s">
        <v>29</v>
      </c>
      <c r="C62" s="23">
        <v>407348130</v>
      </c>
      <c r="D62" s="24">
        <f>0.573-0.15</f>
        <v>0.42299999999999993</v>
      </c>
      <c r="E62" s="23">
        <f>233410-61102</f>
        <v>172308</v>
      </c>
      <c r="F62" s="33">
        <f t="shared" si="2"/>
        <v>172308.25898999997</v>
      </c>
      <c r="G62" s="24">
        <v>0</v>
      </c>
      <c r="H62" s="23">
        <v>0</v>
      </c>
      <c r="I62" s="24">
        <v>0</v>
      </c>
      <c r="J62" s="23">
        <v>0</v>
      </c>
      <c r="K62" s="24">
        <f t="shared" si="1"/>
        <v>0.42299999999999993</v>
      </c>
      <c r="L62" s="23">
        <f t="shared" si="1"/>
        <v>172308</v>
      </c>
    </row>
    <row r="63" spans="1:12" s="22" customFormat="1" x14ac:dyDescent="0.25">
      <c r="A63" s="22" t="s">
        <v>114</v>
      </c>
      <c r="B63" s="22" t="s">
        <v>25</v>
      </c>
      <c r="C63" s="23">
        <v>843028680</v>
      </c>
      <c r="D63" s="24">
        <v>3.5470000000000002</v>
      </c>
      <c r="E63" s="23">
        <v>2990223</v>
      </c>
      <c r="F63" s="33">
        <f t="shared" si="2"/>
        <v>2990222.7279600003</v>
      </c>
      <c r="G63" s="24">
        <v>0</v>
      </c>
      <c r="H63" s="23">
        <v>0</v>
      </c>
      <c r="I63" s="24">
        <v>8.0000000000000002E-3</v>
      </c>
      <c r="J63" s="23">
        <v>6744</v>
      </c>
      <c r="K63" s="24">
        <f t="shared" si="1"/>
        <v>3.5550000000000002</v>
      </c>
      <c r="L63" s="23">
        <f t="shared" si="1"/>
        <v>2996967</v>
      </c>
    </row>
    <row r="64" spans="1:12" s="22" customFormat="1" x14ac:dyDescent="0.25">
      <c r="A64" s="22" t="s">
        <v>113</v>
      </c>
      <c r="B64" s="22" t="s">
        <v>25</v>
      </c>
      <c r="C64" s="23">
        <v>37235460</v>
      </c>
      <c r="D64" s="24">
        <v>10.428000000000001</v>
      </c>
      <c r="E64" s="23">
        <v>388291</v>
      </c>
      <c r="F64" s="33">
        <f t="shared" si="2"/>
        <v>388291.37688000005</v>
      </c>
      <c r="G64" s="24">
        <v>0</v>
      </c>
      <c r="H64" s="23">
        <v>0</v>
      </c>
      <c r="I64" s="24">
        <v>0</v>
      </c>
      <c r="J64" s="23">
        <v>0</v>
      </c>
      <c r="K64" s="24">
        <f t="shared" si="1"/>
        <v>10.428000000000001</v>
      </c>
      <c r="L64" s="23">
        <f t="shared" si="1"/>
        <v>388291</v>
      </c>
    </row>
    <row r="65" spans="1:12" s="22" customFormat="1" x14ac:dyDescent="0.25">
      <c r="A65" s="22" t="s">
        <v>23</v>
      </c>
      <c r="B65" s="22" t="s">
        <v>22</v>
      </c>
      <c r="C65" s="23">
        <v>89255290</v>
      </c>
      <c r="D65" s="24">
        <v>1.125</v>
      </c>
      <c r="E65" s="23">
        <v>100412</v>
      </c>
      <c r="F65" s="33">
        <f>((D65/1000)*C65)</f>
        <v>100412.20125</v>
      </c>
      <c r="G65" s="24">
        <v>0</v>
      </c>
      <c r="H65" s="23">
        <v>0</v>
      </c>
      <c r="I65" s="24">
        <v>0</v>
      </c>
      <c r="J65" s="23">
        <v>0</v>
      </c>
      <c r="K65" s="24">
        <f t="shared" si="1"/>
        <v>1.125</v>
      </c>
      <c r="L65" s="23">
        <f t="shared" si="1"/>
        <v>100412</v>
      </c>
    </row>
    <row r="66" spans="1:12" s="22" customFormat="1" x14ac:dyDescent="0.25">
      <c r="A66" s="22" t="s">
        <v>97</v>
      </c>
      <c r="B66" s="22" t="s">
        <v>96</v>
      </c>
      <c r="C66" s="23">
        <v>93755293</v>
      </c>
      <c r="D66" s="24">
        <v>2.08</v>
      </c>
      <c r="E66" s="23">
        <v>195011</v>
      </c>
      <c r="F66" s="33">
        <f t="shared" si="2"/>
        <v>195011.00944000002</v>
      </c>
      <c r="G66" s="24">
        <v>2.02</v>
      </c>
      <c r="H66" s="23">
        <v>189386</v>
      </c>
      <c r="I66" s="24">
        <v>0.19400000000000001</v>
      </c>
      <c r="J66" s="23">
        <v>18189</v>
      </c>
      <c r="K66" s="24">
        <f t="shared" si="1"/>
        <v>4.2939999999999996</v>
      </c>
      <c r="L66" s="23">
        <f t="shared" si="1"/>
        <v>402586</v>
      </c>
    </row>
    <row r="67" spans="1:12" s="22" customFormat="1" x14ac:dyDescent="0.25">
      <c r="A67" s="22" t="s">
        <v>26</v>
      </c>
      <c r="B67" s="22" t="s">
        <v>27</v>
      </c>
      <c r="C67" s="23">
        <v>2257439910</v>
      </c>
      <c r="D67" s="24">
        <v>0.64500000000000002</v>
      </c>
      <c r="E67" s="23">
        <v>1456049</v>
      </c>
      <c r="F67" s="33">
        <f t="shared" si="2"/>
        <v>1456048.7419500002</v>
      </c>
      <c r="G67" s="24">
        <v>0</v>
      </c>
      <c r="H67" s="23">
        <v>0</v>
      </c>
      <c r="I67" s="24">
        <v>0</v>
      </c>
      <c r="J67" s="23">
        <v>0</v>
      </c>
      <c r="K67" s="24">
        <f t="shared" si="1"/>
        <v>0.64500000000000002</v>
      </c>
      <c r="L67" s="23">
        <f t="shared" si="1"/>
        <v>1456049</v>
      </c>
    </row>
    <row r="68" spans="1:12" s="22" customFormat="1" x14ac:dyDescent="0.25">
      <c r="A68" s="22" t="s">
        <v>52</v>
      </c>
      <c r="B68" s="22" t="s">
        <v>53</v>
      </c>
      <c r="C68" s="23">
        <v>347875290</v>
      </c>
      <c r="D68" s="24">
        <v>1.5</v>
      </c>
      <c r="E68" s="23">
        <v>521813</v>
      </c>
      <c r="F68" s="33">
        <f t="shared" si="2"/>
        <v>521812.935</v>
      </c>
      <c r="G68" s="24">
        <v>0</v>
      </c>
      <c r="H68" s="23">
        <v>0</v>
      </c>
      <c r="I68" s="24">
        <v>2E-3</v>
      </c>
      <c r="J68" s="23">
        <v>696</v>
      </c>
      <c r="K68" s="24">
        <f t="shared" si="1"/>
        <v>1.502</v>
      </c>
      <c r="L68" s="23">
        <f t="shared" si="1"/>
        <v>522509</v>
      </c>
    </row>
    <row r="69" spans="1:12" s="22" customFormat="1" x14ac:dyDescent="0.25">
      <c r="A69" s="22" t="s">
        <v>69</v>
      </c>
      <c r="B69" s="22" t="s">
        <v>70</v>
      </c>
      <c r="C69" s="23">
        <v>101868100</v>
      </c>
      <c r="D69" s="24">
        <v>1.9830000000000001</v>
      </c>
      <c r="E69" s="23">
        <v>202004</v>
      </c>
      <c r="F69" s="33">
        <f t="shared" si="2"/>
        <v>202004.4423</v>
      </c>
      <c r="G69" s="24">
        <v>0</v>
      </c>
      <c r="H69" s="23">
        <v>0</v>
      </c>
      <c r="I69" s="24">
        <v>0</v>
      </c>
      <c r="J69" s="23">
        <v>0</v>
      </c>
      <c r="K69" s="24">
        <f t="shared" si="1"/>
        <v>1.9830000000000001</v>
      </c>
      <c r="L69" s="23">
        <f t="shared" si="1"/>
        <v>202004</v>
      </c>
    </row>
    <row r="70" spans="1:12" s="22" customFormat="1" x14ac:dyDescent="0.25">
      <c r="A70" s="22" t="s">
        <v>24</v>
      </c>
      <c r="B70" s="22" t="s">
        <v>22</v>
      </c>
      <c r="C70" s="23">
        <v>125054250</v>
      </c>
      <c r="D70" s="24">
        <v>1.7110000000000001</v>
      </c>
      <c r="E70" s="23">
        <v>213968</v>
      </c>
      <c r="F70" s="33">
        <f t="shared" si="2"/>
        <v>213967.82175</v>
      </c>
      <c r="G70" s="24">
        <v>0</v>
      </c>
      <c r="H70" s="23">
        <v>0</v>
      </c>
      <c r="I70" s="24">
        <v>0</v>
      </c>
      <c r="J70" s="23">
        <v>0</v>
      </c>
      <c r="K70" s="24">
        <f t="shared" si="1"/>
        <v>1.7110000000000001</v>
      </c>
      <c r="L70" s="23">
        <f t="shared" si="1"/>
        <v>213968</v>
      </c>
    </row>
    <row r="71" spans="1:12" s="22" customFormat="1" x14ac:dyDescent="0.25">
      <c r="A71" s="22" t="s">
        <v>118</v>
      </c>
      <c r="B71" s="22" t="s">
        <v>57</v>
      </c>
      <c r="C71" s="25">
        <v>76064337</v>
      </c>
      <c r="D71" s="24">
        <v>5.85</v>
      </c>
      <c r="E71" s="23">
        <v>444976</v>
      </c>
      <c r="F71" s="36">
        <f t="shared" si="2"/>
        <v>444976.37144999992</v>
      </c>
      <c r="G71" s="24">
        <v>0</v>
      </c>
      <c r="H71" s="23">
        <v>0</v>
      </c>
      <c r="I71" s="24">
        <v>8.0000000000000002E-3</v>
      </c>
      <c r="J71" s="23">
        <v>609</v>
      </c>
      <c r="K71" s="24">
        <f t="shared" si="1"/>
        <v>5.8579999999999997</v>
      </c>
      <c r="L71" s="23">
        <f t="shared" si="1"/>
        <v>445585</v>
      </c>
    </row>
    <row r="72" spans="1:12" x14ac:dyDescent="0.25">
      <c r="C72" s="34"/>
      <c r="D72" s="34"/>
      <c r="E72" s="34"/>
      <c r="F72" s="41"/>
      <c r="G72" s="34"/>
      <c r="H72" s="34"/>
      <c r="I72" s="34"/>
      <c r="J72" s="34"/>
      <c r="K72" s="34"/>
      <c r="L72" s="34"/>
    </row>
    <row r="73" spans="1:12" x14ac:dyDescent="0.25">
      <c r="C73" s="34"/>
      <c r="D73" s="34"/>
      <c r="E73" s="34"/>
      <c r="F73" s="41"/>
      <c r="G73" s="34"/>
      <c r="H73" s="34"/>
      <c r="I73" s="34"/>
      <c r="J73" s="34"/>
      <c r="K73" s="34"/>
      <c r="L73" s="34"/>
    </row>
    <row r="74" spans="1:12" x14ac:dyDescent="0.25">
      <c r="C74" s="34"/>
      <c r="D74" s="34"/>
      <c r="E74" s="34"/>
      <c r="F74" s="41"/>
      <c r="G74" s="34"/>
      <c r="H74" s="34"/>
      <c r="I74" s="34"/>
      <c r="J74" s="34"/>
      <c r="K74" s="34"/>
      <c r="L74" s="34"/>
    </row>
    <row r="75" spans="1:12" x14ac:dyDescent="0.25">
      <c r="A75" s="34" t="s">
        <v>115</v>
      </c>
      <c r="D75" s="56"/>
      <c r="E75" s="57"/>
      <c r="F75" s="58"/>
    </row>
    <row r="76" spans="1:12" x14ac:dyDescent="0.25">
      <c r="C76" s="35"/>
      <c r="E76" s="59"/>
      <c r="F76" s="60"/>
    </row>
    <row r="77" spans="1:12" x14ac:dyDescent="0.25">
      <c r="B77" s="61"/>
      <c r="E77" s="59"/>
      <c r="F77" s="60"/>
    </row>
    <row r="78" spans="1:12" x14ac:dyDescent="0.25">
      <c r="E78" s="59"/>
      <c r="F78" s="60"/>
    </row>
    <row r="79" spans="1:12" x14ac:dyDescent="0.25">
      <c r="A79" s="37"/>
      <c r="B79" s="35"/>
      <c r="E79" s="59"/>
      <c r="F79" s="60"/>
    </row>
    <row r="80" spans="1:12" x14ac:dyDescent="0.25">
      <c r="E80" s="59"/>
      <c r="F80" s="60"/>
    </row>
  </sheetData>
  <mergeCells count="6">
    <mergeCell ref="K3:L3"/>
    <mergeCell ref="D5:E5"/>
    <mergeCell ref="A1:C1"/>
    <mergeCell ref="D3:E3"/>
    <mergeCell ref="G3:H3"/>
    <mergeCell ref="I3:J3"/>
  </mergeCells>
  <conditionalFormatting sqref="A6:XFD71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F97FE-0E10-47D0-8DC4-A9253E67C507}">
  <dimension ref="A1:L81"/>
  <sheetViews>
    <sheetView topLeftCell="A48" workbookViewId="0">
      <selection activeCell="C54" sqref="C54"/>
    </sheetView>
  </sheetViews>
  <sheetFormatPr defaultRowHeight="15" x14ac:dyDescent="0.25"/>
  <cols>
    <col min="1" max="1" width="41.28515625" customWidth="1"/>
    <col min="2" max="2" width="11" bestFit="1" customWidth="1"/>
    <col min="3" max="3" width="18.85546875" bestFit="1" customWidth="1"/>
    <col min="4" max="4" width="15.140625" customWidth="1"/>
    <col min="5" max="5" width="22.28515625" customWidth="1"/>
    <col min="6" max="6" width="14.42578125" hidden="1" customWidth="1"/>
    <col min="7" max="7" width="23.28515625" customWidth="1"/>
    <col min="8" max="8" width="17.7109375" customWidth="1"/>
    <col min="9" max="9" width="19.7109375" customWidth="1"/>
    <col min="10" max="10" width="22.85546875" customWidth="1"/>
    <col min="11" max="11" width="18.7109375" customWidth="1"/>
    <col min="12" max="12" width="23.42578125" customWidth="1"/>
  </cols>
  <sheetData>
    <row r="1" spans="1:12" ht="16.5" thickBot="1" x14ac:dyDescent="0.3">
      <c r="A1" s="93" t="s">
        <v>128</v>
      </c>
      <c r="B1" s="94"/>
      <c r="C1" s="95"/>
    </row>
    <row r="2" spans="1:12" x14ac:dyDescent="0.25">
      <c r="C2" s="34"/>
      <c r="D2" s="34"/>
      <c r="E2" s="34"/>
      <c r="F2" s="41"/>
      <c r="G2" s="34"/>
      <c r="H2" s="34"/>
      <c r="I2" s="34"/>
      <c r="J2" s="34"/>
      <c r="K2" s="34"/>
      <c r="L2" s="34"/>
    </row>
    <row r="3" spans="1:12" x14ac:dyDescent="0.25">
      <c r="A3" s="42"/>
      <c r="C3" s="43"/>
      <c r="D3" s="96" t="s">
        <v>32</v>
      </c>
      <c r="E3" s="96"/>
      <c r="F3" s="45"/>
      <c r="G3" s="96" t="s">
        <v>62</v>
      </c>
      <c r="H3" s="96"/>
      <c r="I3" s="96" t="s">
        <v>46</v>
      </c>
      <c r="J3" s="96"/>
      <c r="K3" s="91" t="s">
        <v>47</v>
      </c>
      <c r="L3" s="91"/>
    </row>
    <row r="4" spans="1:12" x14ac:dyDescent="0.25">
      <c r="A4" s="44" t="s">
        <v>34</v>
      </c>
      <c r="B4" s="44" t="s">
        <v>48</v>
      </c>
      <c r="C4" s="47" t="s">
        <v>43</v>
      </c>
      <c r="D4" s="48" t="s">
        <v>44</v>
      </c>
      <c r="E4" s="47" t="s">
        <v>45</v>
      </c>
      <c r="F4" s="49"/>
      <c r="G4" s="48" t="s">
        <v>44</v>
      </c>
      <c r="H4" s="47" t="s">
        <v>45</v>
      </c>
      <c r="I4" s="48" t="s">
        <v>44</v>
      </c>
      <c r="J4" s="47" t="s">
        <v>45</v>
      </c>
      <c r="K4" s="48" t="s">
        <v>44</v>
      </c>
      <c r="L4" s="50" t="s">
        <v>45</v>
      </c>
    </row>
    <row r="5" spans="1:12" ht="15.75" thickBot="1" x14ac:dyDescent="0.3">
      <c r="A5" s="51"/>
      <c r="B5" s="51"/>
      <c r="C5" s="52"/>
      <c r="D5" s="92" t="s">
        <v>33</v>
      </c>
      <c r="E5" s="92"/>
      <c r="F5" s="54" t="s">
        <v>121</v>
      </c>
      <c r="G5" s="53"/>
      <c r="H5" s="53"/>
      <c r="I5" s="53"/>
      <c r="J5" s="53"/>
      <c r="K5" s="55"/>
      <c r="L5" s="53"/>
    </row>
    <row r="6" spans="1:12" x14ac:dyDescent="0.25">
      <c r="A6" s="22" t="s">
        <v>42</v>
      </c>
      <c r="B6" s="22" t="s">
        <v>49</v>
      </c>
      <c r="C6" s="23">
        <v>5172790</v>
      </c>
      <c r="D6" s="24">
        <v>5.758</v>
      </c>
      <c r="E6" s="23">
        <v>29785</v>
      </c>
      <c r="F6" s="33">
        <v>29784.92482</v>
      </c>
      <c r="G6" s="24">
        <v>0</v>
      </c>
      <c r="H6" s="23">
        <v>0</v>
      </c>
      <c r="I6" s="24">
        <v>5.1999999999999998E-2</v>
      </c>
      <c r="J6" s="23">
        <v>269</v>
      </c>
      <c r="K6" s="24">
        <v>5.81</v>
      </c>
      <c r="L6" s="23">
        <v>30054</v>
      </c>
    </row>
    <row r="7" spans="1:12" x14ac:dyDescent="0.25">
      <c r="A7" s="22" t="s">
        <v>42</v>
      </c>
      <c r="B7" s="22" t="s">
        <v>51</v>
      </c>
      <c r="C7" s="23">
        <v>6804294852</v>
      </c>
      <c r="D7" s="24">
        <v>5.758</v>
      </c>
      <c r="E7" s="23">
        <v>39179130</v>
      </c>
      <c r="F7" s="33">
        <v>39179129.757816002</v>
      </c>
      <c r="G7" s="24">
        <v>0</v>
      </c>
      <c r="H7" s="23">
        <v>0</v>
      </c>
      <c r="I7" s="24">
        <v>5.1999999999999998E-2</v>
      </c>
      <c r="J7" s="23">
        <v>353823</v>
      </c>
      <c r="K7" s="24">
        <v>5.81</v>
      </c>
      <c r="L7" s="23">
        <v>39532953</v>
      </c>
    </row>
    <row r="8" spans="1:12" x14ac:dyDescent="0.25">
      <c r="A8" s="22" t="s">
        <v>76</v>
      </c>
      <c r="B8" s="22" t="s">
        <v>77</v>
      </c>
      <c r="C8" s="23">
        <v>241819830</v>
      </c>
      <c r="D8" s="24">
        <v>2.61</v>
      </c>
      <c r="E8" s="23">
        <v>631150</v>
      </c>
      <c r="F8" s="33">
        <v>631149.75630000001</v>
      </c>
      <c r="G8" s="24">
        <v>2.39</v>
      </c>
      <c r="H8" s="23">
        <v>577949</v>
      </c>
      <c r="I8" s="24">
        <v>0.94199999999999995</v>
      </c>
      <c r="J8" s="23">
        <v>227794</v>
      </c>
      <c r="K8" s="24">
        <v>5.9420000000000002</v>
      </c>
      <c r="L8" s="23">
        <v>1436893</v>
      </c>
    </row>
    <row r="9" spans="1:12" x14ac:dyDescent="0.25">
      <c r="A9" s="22" t="s">
        <v>76</v>
      </c>
      <c r="B9" s="22" t="s">
        <v>10</v>
      </c>
      <c r="C9" s="23">
        <v>184744090</v>
      </c>
      <c r="D9" s="24">
        <v>2.61</v>
      </c>
      <c r="E9" s="23">
        <v>482182</v>
      </c>
      <c r="F9" s="33">
        <v>482182.07490000001</v>
      </c>
      <c r="G9" s="24">
        <v>2.39</v>
      </c>
      <c r="H9" s="23">
        <v>441538</v>
      </c>
      <c r="I9" s="24">
        <v>0.94199999999999995</v>
      </c>
      <c r="J9" s="23">
        <v>174029</v>
      </c>
      <c r="K9" s="24">
        <v>5.9420000000000002</v>
      </c>
      <c r="L9" s="23">
        <v>1097749</v>
      </c>
    </row>
    <row r="10" spans="1:12" x14ac:dyDescent="0.25">
      <c r="A10" s="22" t="s">
        <v>106</v>
      </c>
      <c r="B10" s="22" t="s">
        <v>107</v>
      </c>
      <c r="C10" s="23">
        <v>250023080</v>
      </c>
      <c r="D10" s="24">
        <v>2.4</v>
      </c>
      <c r="E10" s="23">
        <v>600055</v>
      </c>
      <c r="F10" s="33">
        <v>600055.39199999999</v>
      </c>
      <c r="G10" s="24">
        <v>0</v>
      </c>
      <c r="H10" s="23">
        <v>0</v>
      </c>
      <c r="I10" s="24">
        <v>0</v>
      </c>
      <c r="J10" s="23">
        <v>0</v>
      </c>
      <c r="K10" s="24">
        <v>2.4</v>
      </c>
      <c r="L10" s="23">
        <v>600055</v>
      </c>
    </row>
    <row r="11" spans="1:12" x14ac:dyDescent="0.25">
      <c r="A11" s="22" t="s">
        <v>65</v>
      </c>
      <c r="B11" s="22" t="s">
        <v>111</v>
      </c>
      <c r="C11" s="23">
        <v>349815720</v>
      </c>
      <c r="D11" s="24">
        <v>2</v>
      </c>
      <c r="E11" s="23">
        <v>699631</v>
      </c>
      <c r="F11" s="33">
        <v>699631.44000000006</v>
      </c>
      <c r="G11" s="24">
        <v>0</v>
      </c>
      <c r="H11" s="23">
        <v>0</v>
      </c>
      <c r="I11" s="24">
        <v>0</v>
      </c>
      <c r="J11" s="23">
        <v>0</v>
      </c>
      <c r="K11" s="24">
        <v>2</v>
      </c>
      <c r="L11" s="23">
        <v>699631</v>
      </c>
    </row>
    <row r="12" spans="1:12" x14ac:dyDescent="0.25">
      <c r="A12" s="22" t="s">
        <v>36</v>
      </c>
      <c r="B12" s="22" t="s">
        <v>31</v>
      </c>
      <c r="C12" s="23">
        <v>1306567690</v>
      </c>
      <c r="D12" s="24">
        <v>3.5459999999999998</v>
      </c>
      <c r="E12" s="23">
        <v>4633089</v>
      </c>
      <c r="F12" s="33">
        <v>4633089.02874</v>
      </c>
      <c r="G12" s="24">
        <v>0</v>
      </c>
      <c r="H12" s="23">
        <v>0</v>
      </c>
      <c r="I12" s="24">
        <v>1.7000000000000001E-2</v>
      </c>
      <c r="J12" s="23">
        <v>22212</v>
      </c>
      <c r="K12" s="24">
        <v>3.5629999999999997</v>
      </c>
      <c r="L12" s="23">
        <v>4655301</v>
      </c>
    </row>
    <row r="13" spans="1:12" x14ac:dyDescent="0.25">
      <c r="A13" s="22" t="s">
        <v>66</v>
      </c>
      <c r="B13" s="22" t="s">
        <v>137</v>
      </c>
      <c r="C13" s="23">
        <v>73935266</v>
      </c>
      <c r="D13" s="24">
        <v>2</v>
      </c>
      <c r="E13" s="23">
        <v>147871</v>
      </c>
      <c r="F13" s="33">
        <v>147870.53200000001</v>
      </c>
      <c r="G13" s="24">
        <v>0</v>
      </c>
      <c r="H13" s="23">
        <v>0</v>
      </c>
      <c r="I13" s="24">
        <v>1.0999999999999999E-2</v>
      </c>
      <c r="J13" s="23">
        <v>813</v>
      </c>
      <c r="K13" s="24">
        <v>2.0110000000000001</v>
      </c>
      <c r="L13" s="23">
        <v>148684</v>
      </c>
    </row>
    <row r="14" spans="1:12" x14ac:dyDescent="0.25">
      <c r="A14" s="22" t="s">
        <v>67</v>
      </c>
      <c r="B14" s="22" t="s">
        <v>68</v>
      </c>
      <c r="C14" s="23">
        <v>124342229</v>
      </c>
      <c r="D14" s="24">
        <v>0.5</v>
      </c>
      <c r="E14" s="23">
        <v>62171</v>
      </c>
      <c r="F14" s="33">
        <v>62171.114500000003</v>
      </c>
      <c r="G14" s="24">
        <v>0</v>
      </c>
      <c r="H14" s="23">
        <v>0</v>
      </c>
      <c r="I14" s="24">
        <v>0</v>
      </c>
      <c r="J14" s="23">
        <v>0</v>
      </c>
      <c r="K14" s="24">
        <v>0.5</v>
      </c>
      <c r="L14" s="23">
        <v>62171</v>
      </c>
    </row>
    <row r="15" spans="1:12" x14ac:dyDescent="0.25">
      <c r="A15" s="22" t="s">
        <v>71</v>
      </c>
      <c r="B15" s="22" t="s">
        <v>138</v>
      </c>
      <c r="C15" s="23">
        <v>337040121</v>
      </c>
      <c r="D15" s="24">
        <v>3</v>
      </c>
      <c r="E15" s="23">
        <v>1011120</v>
      </c>
      <c r="F15" s="33">
        <v>1011120.363</v>
      </c>
      <c r="G15" s="24">
        <v>0</v>
      </c>
      <c r="H15" s="23">
        <v>0</v>
      </c>
      <c r="I15" s="24">
        <v>0</v>
      </c>
      <c r="J15" s="23">
        <v>0</v>
      </c>
      <c r="K15" s="24">
        <v>3</v>
      </c>
      <c r="L15" s="23">
        <v>1011120</v>
      </c>
    </row>
    <row r="16" spans="1:12" x14ac:dyDescent="0.25">
      <c r="A16" s="22" t="s">
        <v>71</v>
      </c>
      <c r="B16" s="22" t="s">
        <v>4</v>
      </c>
      <c r="C16" s="23">
        <v>5380108</v>
      </c>
      <c r="D16" s="24">
        <v>3</v>
      </c>
      <c r="E16" s="23">
        <v>16140</v>
      </c>
      <c r="F16" s="33">
        <v>16140.324000000001</v>
      </c>
      <c r="G16" s="24">
        <v>0</v>
      </c>
      <c r="H16" s="23">
        <v>0</v>
      </c>
      <c r="I16" s="24">
        <v>0</v>
      </c>
      <c r="J16" s="23">
        <v>0</v>
      </c>
      <c r="K16" s="24">
        <v>3</v>
      </c>
      <c r="L16" s="23">
        <v>16140</v>
      </c>
    </row>
    <row r="17" spans="1:12" x14ac:dyDescent="0.25">
      <c r="A17" s="22" t="s">
        <v>72</v>
      </c>
      <c r="B17" s="22" t="s">
        <v>73</v>
      </c>
      <c r="C17" s="23">
        <v>114008222</v>
      </c>
      <c r="D17" s="24">
        <v>1</v>
      </c>
      <c r="E17" s="23">
        <v>114008</v>
      </c>
      <c r="F17" s="33">
        <v>114008.22200000001</v>
      </c>
      <c r="G17" s="24">
        <v>0</v>
      </c>
      <c r="H17" s="23">
        <v>0</v>
      </c>
      <c r="I17" s="24">
        <v>0</v>
      </c>
      <c r="J17" s="23">
        <v>0</v>
      </c>
      <c r="K17" s="24">
        <v>1</v>
      </c>
      <c r="L17" s="23">
        <v>114008</v>
      </c>
    </row>
    <row r="18" spans="1:12" x14ac:dyDescent="0.25">
      <c r="A18" s="22" t="s">
        <v>1</v>
      </c>
      <c r="B18" s="22" t="s">
        <v>2</v>
      </c>
      <c r="C18" s="23">
        <v>63352600</v>
      </c>
      <c r="D18" s="24">
        <v>4.1559999999999997</v>
      </c>
      <c r="E18" s="23">
        <v>263293</v>
      </c>
      <c r="F18" s="33">
        <v>263293.4056</v>
      </c>
      <c r="G18" s="24">
        <v>0</v>
      </c>
      <c r="H18" s="23">
        <v>0</v>
      </c>
      <c r="I18" s="24">
        <v>1.4E-2</v>
      </c>
      <c r="J18" s="23">
        <v>887</v>
      </c>
      <c r="K18" s="24">
        <v>4.17</v>
      </c>
      <c r="L18" s="23">
        <v>264180</v>
      </c>
    </row>
    <row r="19" spans="1:12" x14ac:dyDescent="0.25">
      <c r="A19" s="22" t="s">
        <v>120</v>
      </c>
      <c r="B19" s="22" t="s">
        <v>75</v>
      </c>
      <c r="C19" s="23">
        <v>7470076990</v>
      </c>
      <c r="D19" s="24">
        <v>4</v>
      </c>
      <c r="E19" s="23">
        <v>29880308</v>
      </c>
      <c r="F19" s="33">
        <v>29880307.960000001</v>
      </c>
      <c r="G19" s="24">
        <v>0</v>
      </c>
      <c r="H19" s="23">
        <v>0</v>
      </c>
      <c r="I19" s="24">
        <v>1.2E-2</v>
      </c>
      <c r="J19" s="23">
        <v>89641</v>
      </c>
      <c r="K19" s="24">
        <v>4.0119999999999996</v>
      </c>
      <c r="L19" s="23">
        <v>29969949</v>
      </c>
    </row>
    <row r="20" spans="1:12" x14ac:dyDescent="0.25">
      <c r="A20" s="22" t="s">
        <v>78</v>
      </c>
      <c r="B20" s="22" t="s">
        <v>77</v>
      </c>
      <c r="C20" s="23">
        <v>1972175940</v>
      </c>
      <c r="D20" s="24">
        <v>2.7629999999999999</v>
      </c>
      <c r="E20" s="23">
        <v>5449122</v>
      </c>
      <c r="F20" s="33">
        <v>5449122.1222199993</v>
      </c>
      <c r="G20" s="24">
        <v>0</v>
      </c>
      <c r="H20" s="23">
        <v>0</v>
      </c>
      <c r="I20" s="24">
        <v>0</v>
      </c>
      <c r="J20" s="23">
        <v>0</v>
      </c>
      <c r="K20" s="24">
        <v>2.7629999999999999</v>
      </c>
      <c r="L20" s="23">
        <v>5449122</v>
      </c>
    </row>
    <row r="21" spans="1:12" x14ac:dyDescent="0.25">
      <c r="A21" s="22" t="s">
        <v>63</v>
      </c>
      <c r="B21" s="22" t="s">
        <v>64</v>
      </c>
      <c r="C21" s="23">
        <v>78512959</v>
      </c>
      <c r="D21" s="24">
        <v>1</v>
      </c>
      <c r="E21" s="23">
        <v>78513</v>
      </c>
      <c r="F21" s="33">
        <v>78512.959000000003</v>
      </c>
      <c r="G21" s="24">
        <v>0</v>
      </c>
      <c r="H21" s="23">
        <v>0</v>
      </c>
      <c r="I21" s="24">
        <v>0</v>
      </c>
      <c r="J21" s="23">
        <v>0</v>
      </c>
      <c r="K21" s="24">
        <v>1</v>
      </c>
      <c r="L21" s="23">
        <v>78513</v>
      </c>
    </row>
    <row r="22" spans="1:12" x14ac:dyDescent="0.25">
      <c r="A22" s="22" t="s">
        <v>6</v>
      </c>
      <c r="B22" s="22" t="s">
        <v>7</v>
      </c>
      <c r="C22" s="23">
        <v>260047290</v>
      </c>
      <c r="D22" s="24">
        <v>3.5</v>
      </c>
      <c r="E22" s="23">
        <v>910166</v>
      </c>
      <c r="F22" s="33">
        <v>910165.51500000001</v>
      </c>
      <c r="G22" s="24">
        <v>0</v>
      </c>
      <c r="H22" s="23">
        <v>0</v>
      </c>
      <c r="I22" s="24">
        <v>5.0000000000000001E-3</v>
      </c>
      <c r="J22" s="23">
        <v>1300</v>
      </c>
      <c r="K22" s="24">
        <v>3.5049999999999999</v>
      </c>
      <c r="L22" s="23">
        <v>911466</v>
      </c>
    </row>
    <row r="23" spans="1:12" x14ac:dyDescent="0.25">
      <c r="A23" s="22" t="s">
        <v>21</v>
      </c>
      <c r="B23" s="22" t="s">
        <v>22</v>
      </c>
      <c r="C23" s="23"/>
      <c r="D23" s="24">
        <v>2.504</v>
      </c>
      <c r="E23" s="23">
        <v>2574350</v>
      </c>
      <c r="F23" s="33">
        <v>0</v>
      </c>
      <c r="G23" s="24">
        <v>0.90900000000000003</v>
      </c>
      <c r="H23" s="23">
        <v>934539</v>
      </c>
      <c r="I23" s="24">
        <v>3.3000000000000002E-2</v>
      </c>
      <c r="J23" s="23">
        <v>33297</v>
      </c>
      <c r="K23" s="24">
        <v>3.4460000000000002</v>
      </c>
      <c r="L23" s="23">
        <v>3542186</v>
      </c>
    </row>
    <row r="24" spans="1:12" x14ac:dyDescent="0.25">
      <c r="A24" s="22" t="s">
        <v>79</v>
      </c>
      <c r="B24" s="22" t="s">
        <v>80</v>
      </c>
      <c r="C24" s="23">
        <v>444229920</v>
      </c>
      <c r="D24" s="24">
        <v>2.516</v>
      </c>
      <c r="E24" s="23">
        <v>1117682</v>
      </c>
      <c r="F24" s="33">
        <v>1117682.47872</v>
      </c>
      <c r="G24" s="24">
        <v>0</v>
      </c>
      <c r="H24" s="23">
        <v>0</v>
      </c>
      <c r="I24" s="24">
        <v>0</v>
      </c>
      <c r="J24" s="23">
        <v>0</v>
      </c>
      <c r="K24" s="24">
        <v>2.516</v>
      </c>
      <c r="L24" s="23">
        <v>1117682</v>
      </c>
    </row>
    <row r="25" spans="1:12" x14ac:dyDescent="0.25">
      <c r="A25" s="22" t="s">
        <v>108</v>
      </c>
      <c r="B25" s="22" t="s">
        <v>107</v>
      </c>
      <c r="C25" s="23">
        <v>415273968</v>
      </c>
      <c r="D25" s="24">
        <v>4.5199999999999996</v>
      </c>
      <c r="E25" s="23">
        <v>1877038</v>
      </c>
      <c r="F25" s="33">
        <v>1877038.3353599999</v>
      </c>
      <c r="G25" s="24">
        <v>0</v>
      </c>
      <c r="H25" s="23">
        <v>0</v>
      </c>
      <c r="I25" s="24">
        <v>1.7999999999999999E-2</v>
      </c>
      <c r="J25" s="23">
        <v>7475</v>
      </c>
      <c r="K25" s="24">
        <v>4.5379999999999994</v>
      </c>
      <c r="L25" s="23">
        <v>1884513</v>
      </c>
    </row>
    <row r="26" spans="1:12" x14ac:dyDescent="0.25">
      <c r="A26" s="22" t="s">
        <v>86</v>
      </c>
      <c r="B26" s="22" t="s">
        <v>87</v>
      </c>
      <c r="C26" s="25">
        <v>2298921040</v>
      </c>
      <c r="D26" s="24">
        <v>1.5</v>
      </c>
      <c r="E26" s="23">
        <v>3448382</v>
      </c>
      <c r="F26" s="33">
        <v>3448381.56</v>
      </c>
      <c r="G26" s="24">
        <v>0</v>
      </c>
      <c r="H26" s="23">
        <v>0</v>
      </c>
      <c r="I26" s="24">
        <v>1.0049999999999999</v>
      </c>
      <c r="J26" s="23">
        <v>2310416</v>
      </c>
      <c r="K26" s="24">
        <v>2.5049999999999999</v>
      </c>
      <c r="L26" s="23">
        <v>5758798</v>
      </c>
    </row>
    <row r="27" spans="1:12" x14ac:dyDescent="0.25">
      <c r="A27" s="22" t="s">
        <v>88</v>
      </c>
      <c r="B27" s="22" t="s">
        <v>89</v>
      </c>
      <c r="C27" s="23">
        <v>457501290</v>
      </c>
      <c r="D27" s="24">
        <v>0.23899999999999999</v>
      </c>
      <c r="E27" s="23">
        <v>109343</v>
      </c>
      <c r="F27" s="33">
        <v>109342.80830999999</v>
      </c>
      <c r="G27" s="24">
        <v>0</v>
      </c>
      <c r="H27" s="23">
        <v>0</v>
      </c>
      <c r="I27" s="24">
        <v>0.86699999999999999</v>
      </c>
      <c r="J27" s="23">
        <v>396654</v>
      </c>
      <c r="K27" s="24">
        <v>1.1059999999999999</v>
      </c>
      <c r="L27" s="23">
        <v>505997</v>
      </c>
    </row>
    <row r="28" spans="1:12" x14ac:dyDescent="0.25">
      <c r="A28" s="22" t="s">
        <v>90</v>
      </c>
      <c r="B28" s="22" t="s">
        <v>91</v>
      </c>
      <c r="C28" s="23">
        <v>809074780</v>
      </c>
      <c r="D28" s="24">
        <v>3.36</v>
      </c>
      <c r="E28" s="23">
        <v>2718491</v>
      </c>
      <c r="F28" s="33">
        <v>2718491.2607999998</v>
      </c>
      <c r="G28" s="24">
        <v>0</v>
      </c>
      <c r="H28" s="23">
        <v>0</v>
      </c>
      <c r="I28" s="24">
        <v>6.0000000000000001E-3</v>
      </c>
      <c r="J28" s="23">
        <v>4854</v>
      </c>
      <c r="K28" s="24">
        <v>3.3659999999999997</v>
      </c>
      <c r="L28" s="23">
        <v>2723345</v>
      </c>
    </row>
    <row r="29" spans="1:12" x14ac:dyDescent="0.25">
      <c r="A29" s="22" t="s">
        <v>92</v>
      </c>
      <c r="B29" s="22" t="s">
        <v>93</v>
      </c>
      <c r="C29" s="23">
        <v>724440770</v>
      </c>
      <c r="D29" s="24">
        <v>1.9</v>
      </c>
      <c r="E29" s="23">
        <v>1376437</v>
      </c>
      <c r="F29" s="33">
        <v>1376437.463</v>
      </c>
      <c r="G29" s="24">
        <v>0</v>
      </c>
      <c r="H29" s="23">
        <v>0</v>
      </c>
      <c r="I29" s="24">
        <v>0</v>
      </c>
      <c r="J29" s="23">
        <v>0</v>
      </c>
      <c r="K29" s="24">
        <v>1.9</v>
      </c>
      <c r="L29" s="23">
        <v>1376437</v>
      </c>
    </row>
    <row r="30" spans="1:12" x14ac:dyDescent="0.25">
      <c r="A30" s="22" t="s">
        <v>56</v>
      </c>
      <c r="B30" s="22" t="s">
        <v>57</v>
      </c>
      <c r="C30" s="23">
        <v>182540518</v>
      </c>
      <c r="D30" s="24">
        <v>3.177</v>
      </c>
      <c r="E30" s="23">
        <v>579931</v>
      </c>
      <c r="F30" s="33">
        <v>579931.22568600008</v>
      </c>
      <c r="G30" s="24">
        <v>0</v>
      </c>
      <c r="H30" s="23">
        <v>0</v>
      </c>
      <c r="I30" s="24">
        <v>4.0000000000000001E-3</v>
      </c>
      <c r="J30" s="23">
        <v>730</v>
      </c>
      <c r="K30" s="24">
        <v>3.181</v>
      </c>
      <c r="L30" s="23">
        <v>580661</v>
      </c>
    </row>
    <row r="31" spans="1:12" x14ac:dyDescent="0.25">
      <c r="A31" s="22" t="s">
        <v>56</v>
      </c>
      <c r="B31" s="22" t="s">
        <v>31</v>
      </c>
      <c r="C31" s="23">
        <v>13673932860</v>
      </c>
      <c r="D31" s="24">
        <v>3.177</v>
      </c>
      <c r="E31" s="23">
        <v>43442085</v>
      </c>
      <c r="F31" s="33">
        <v>43442084.696220003</v>
      </c>
      <c r="G31" s="24">
        <v>0</v>
      </c>
      <c r="H31" s="23">
        <v>0</v>
      </c>
      <c r="I31" s="24">
        <v>4.0000000000000001E-3</v>
      </c>
      <c r="J31" s="23">
        <v>54696</v>
      </c>
      <c r="K31" s="24">
        <v>3.181</v>
      </c>
      <c r="L31" s="23">
        <v>43496781</v>
      </c>
    </row>
    <row r="32" spans="1:12" x14ac:dyDescent="0.25">
      <c r="A32" s="22" t="s">
        <v>125</v>
      </c>
      <c r="B32" s="22" t="s">
        <v>94</v>
      </c>
      <c r="C32" s="23">
        <v>50104949</v>
      </c>
      <c r="D32" s="24">
        <v>1.75</v>
      </c>
      <c r="E32" s="23">
        <v>87684</v>
      </c>
      <c r="F32" s="33">
        <v>87683.660749999995</v>
      </c>
      <c r="G32" s="24">
        <v>0</v>
      </c>
      <c r="H32" s="23">
        <v>0</v>
      </c>
      <c r="I32" s="24">
        <v>0</v>
      </c>
      <c r="J32" s="23">
        <v>0</v>
      </c>
      <c r="K32" s="24">
        <v>1.75</v>
      </c>
      <c r="L32" s="23">
        <v>87684</v>
      </c>
    </row>
    <row r="33" spans="1:12" x14ac:dyDescent="0.25">
      <c r="A33" s="22" t="s">
        <v>103</v>
      </c>
      <c r="B33" s="22" t="s">
        <v>104</v>
      </c>
      <c r="C33" s="23">
        <v>197925560</v>
      </c>
      <c r="D33" s="24">
        <v>1.5</v>
      </c>
      <c r="E33" s="23">
        <v>296888</v>
      </c>
      <c r="F33" s="33">
        <v>296888.34000000003</v>
      </c>
      <c r="G33" s="24">
        <v>0</v>
      </c>
      <c r="H33" s="23">
        <v>0</v>
      </c>
      <c r="I33" s="24">
        <v>0</v>
      </c>
      <c r="J33" s="23">
        <v>0</v>
      </c>
      <c r="K33" s="24">
        <v>1.5</v>
      </c>
      <c r="L33" s="23">
        <v>296888</v>
      </c>
    </row>
    <row r="34" spans="1:12" x14ac:dyDescent="0.25">
      <c r="A34" s="22" t="s">
        <v>112</v>
      </c>
      <c r="B34" s="22" t="s">
        <v>98</v>
      </c>
      <c r="C34" s="23">
        <v>107694896</v>
      </c>
      <c r="D34" s="24">
        <v>1.4119999999999999</v>
      </c>
      <c r="E34" s="23">
        <v>152065</v>
      </c>
      <c r="F34" s="33">
        <v>152065.19315199999</v>
      </c>
      <c r="G34" s="24">
        <v>0</v>
      </c>
      <c r="H34" s="23">
        <v>0</v>
      </c>
      <c r="I34" s="24">
        <v>0</v>
      </c>
      <c r="J34" s="23">
        <v>0</v>
      </c>
      <c r="K34" s="24">
        <v>1.4119999999999999</v>
      </c>
      <c r="L34" s="23">
        <v>152065</v>
      </c>
    </row>
    <row r="35" spans="1:12" x14ac:dyDescent="0.25">
      <c r="A35" s="22" t="s">
        <v>99</v>
      </c>
      <c r="B35" s="22" t="s">
        <v>100</v>
      </c>
      <c r="C35" s="23">
        <v>10918662910</v>
      </c>
      <c r="D35" s="24">
        <v>4.5</v>
      </c>
      <c r="E35" s="23">
        <v>49133983</v>
      </c>
      <c r="F35" s="33">
        <v>49133983.094999999</v>
      </c>
      <c r="G35" s="24">
        <v>0</v>
      </c>
      <c r="H35" s="23">
        <v>0</v>
      </c>
      <c r="I35" s="24">
        <v>0</v>
      </c>
      <c r="J35" s="23">
        <v>0</v>
      </c>
      <c r="K35" s="24">
        <v>4.5</v>
      </c>
      <c r="L35" s="23">
        <v>49133983</v>
      </c>
    </row>
    <row r="36" spans="1:12" x14ac:dyDescent="0.25">
      <c r="A36" s="22" t="s">
        <v>83</v>
      </c>
      <c r="B36" s="22" t="s">
        <v>84</v>
      </c>
      <c r="C36" s="23">
        <v>102226583</v>
      </c>
      <c r="D36" s="24">
        <v>2</v>
      </c>
      <c r="E36" s="23">
        <v>204453</v>
      </c>
      <c r="F36" s="33">
        <v>204453.166</v>
      </c>
      <c r="G36" s="24">
        <v>0</v>
      </c>
      <c r="H36" s="23">
        <v>0</v>
      </c>
      <c r="I36" s="24">
        <v>5.0000000000000001E-3</v>
      </c>
      <c r="J36" s="23">
        <v>511</v>
      </c>
      <c r="K36" s="24">
        <v>2.0049999999999999</v>
      </c>
      <c r="L36" s="23">
        <v>204964</v>
      </c>
    </row>
    <row r="37" spans="1:12" x14ac:dyDescent="0.25">
      <c r="A37" s="22" t="s">
        <v>101</v>
      </c>
      <c r="B37" s="22" t="s">
        <v>102</v>
      </c>
      <c r="C37" s="23">
        <v>38084370</v>
      </c>
      <c r="D37" s="24">
        <v>1.5</v>
      </c>
      <c r="E37" s="23">
        <v>57127</v>
      </c>
      <c r="F37" s="33">
        <v>57126.555</v>
      </c>
      <c r="G37" s="24">
        <v>0</v>
      </c>
      <c r="H37" s="23">
        <v>0</v>
      </c>
      <c r="I37" s="24">
        <v>0</v>
      </c>
      <c r="J37" s="23">
        <v>0</v>
      </c>
      <c r="K37" s="24">
        <v>1.5</v>
      </c>
      <c r="L37" s="23">
        <v>57127</v>
      </c>
    </row>
    <row r="38" spans="1:12" x14ac:dyDescent="0.25">
      <c r="A38" s="22" t="s">
        <v>95</v>
      </c>
      <c r="B38" s="22" t="s">
        <v>96</v>
      </c>
      <c r="C38" s="23">
        <v>32347910</v>
      </c>
      <c r="D38" s="24">
        <v>5.91</v>
      </c>
      <c r="E38" s="23">
        <v>191176</v>
      </c>
      <c r="F38" s="33">
        <v>191176.14810000002</v>
      </c>
      <c r="G38" s="24">
        <v>0</v>
      </c>
      <c r="H38" s="23">
        <v>0</v>
      </c>
      <c r="I38" s="24">
        <v>5.0000000000000001E-3</v>
      </c>
      <c r="J38" s="23">
        <v>162</v>
      </c>
      <c r="K38" s="24">
        <v>5.915</v>
      </c>
      <c r="L38" s="23">
        <v>191338</v>
      </c>
    </row>
    <row r="39" spans="1:12" x14ac:dyDescent="0.25">
      <c r="A39" s="22" t="s">
        <v>54</v>
      </c>
      <c r="B39" s="22" t="s">
        <v>55</v>
      </c>
      <c r="C39" s="23">
        <v>68430360</v>
      </c>
      <c r="D39" s="24">
        <v>1.5</v>
      </c>
      <c r="E39" s="23">
        <v>102646</v>
      </c>
      <c r="F39" s="33">
        <v>102645.54000000001</v>
      </c>
      <c r="G39" s="24">
        <v>0</v>
      </c>
      <c r="H39" s="23">
        <v>0</v>
      </c>
      <c r="I39" s="24">
        <v>0</v>
      </c>
      <c r="J39" s="23">
        <v>0</v>
      </c>
      <c r="K39" s="24">
        <v>1.5</v>
      </c>
      <c r="L39" s="23">
        <v>102646</v>
      </c>
    </row>
    <row r="40" spans="1:12" x14ac:dyDescent="0.25">
      <c r="A40" s="22" t="s">
        <v>118</v>
      </c>
      <c r="B40" s="22" t="s">
        <v>57</v>
      </c>
      <c r="C40" s="25">
        <v>75979952</v>
      </c>
      <c r="D40" s="24">
        <v>5.85</v>
      </c>
      <c r="E40" s="23">
        <v>444483</v>
      </c>
      <c r="F40" s="36">
        <v>444482.71919999993</v>
      </c>
      <c r="G40" s="24">
        <v>0</v>
      </c>
      <c r="H40" s="23">
        <v>0</v>
      </c>
      <c r="I40" s="24">
        <v>4.0000000000000001E-3</v>
      </c>
      <c r="J40" s="23">
        <v>304</v>
      </c>
      <c r="K40" s="24">
        <v>5.8539999999999992</v>
      </c>
      <c r="L40" s="23">
        <v>444787</v>
      </c>
    </row>
    <row r="41" spans="1:12" x14ac:dyDescent="0.25">
      <c r="A41" s="22" t="s">
        <v>118</v>
      </c>
      <c r="B41" s="22" t="s">
        <v>119</v>
      </c>
      <c r="C41" s="23">
        <v>13846629</v>
      </c>
      <c r="D41" s="24">
        <v>5.85</v>
      </c>
      <c r="E41" s="23">
        <v>81003</v>
      </c>
      <c r="F41" s="33">
        <v>81002.779649999997</v>
      </c>
      <c r="G41" s="24">
        <v>0</v>
      </c>
      <c r="H41" s="23">
        <v>0</v>
      </c>
      <c r="I41" s="24">
        <v>4.0000000000000001E-3</v>
      </c>
      <c r="J41" s="23">
        <v>55</v>
      </c>
      <c r="K41" s="24">
        <v>5.8539999999999992</v>
      </c>
      <c r="L41" s="23">
        <v>81058</v>
      </c>
    </row>
    <row r="42" spans="1:12" x14ac:dyDescent="0.25">
      <c r="A42" s="22" t="s">
        <v>3</v>
      </c>
      <c r="B42" s="22" t="s">
        <v>2</v>
      </c>
      <c r="C42" s="23">
        <v>50630840</v>
      </c>
      <c r="D42" s="24">
        <v>8</v>
      </c>
      <c r="E42" s="23">
        <v>405047</v>
      </c>
      <c r="F42" s="33">
        <v>405046.72000000003</v>
      </c>
      <c r="G42" s="24">
        <v>0</v>
      </c>
      <c r="H42" s="23">
        <v>0</v>
      </c>
      <c r="I42" s="24">
        <v>7.1999999999999995E-2</v>
      </c>
      <c r="J42" s="23">
        <v>3645</v>
      </c>
      <c r="K42" s="24">
        <v>8.0719999999999992</v>
      </c>
      <c r="L42" s="23">
        <v>408692</v>
      </c>
    </row>
    <row r="43" spans="1:12" x14ac:dyDescent="0.25">
      <c r="A43" s="22" t="s">
        <v>16</v>
      </c>
      <c r="B43" s="22" t="s">
        <v>17</v>
      </c>
      <c r="C43" s="23">
        <v>527235430</v>
      </c>
      <c r="D43" s="24">
        <v>1.016</v>
      </c>
      <c r="E43" s="23">
        <v>535671</v>
      </c>
      <c r="F43" s="33">
        <v>535671.19687999994</v>
      </c>
      <c r="G43" s="24">
        <v>0</v>
      </c>
      <c r="H43" s="23">
        <v>0</v>
      </c>
      <c r="I43" s="24">
        <v>0</v>
      </c>
      <c r="J43" s="23">
        <v>0</v>
      </c>
      <c r="K43" s="24">
        <v>1.016</v>
      </c>
      <c r="L43" s="23">
        <v>535671</v>
      </c>
    </row>
    <row r="44" spans="1:12" x14ac:dyDescent="0.25">
      <c r="A44" s="22" t="s">
        <v>110</v>
      </c>
      <c r="B44" s="22" t="s">
        <v>0</v>
      </c>
      <c r="C44" s="23">
        <v>2178595800</v>
      </c>
      <c r="D44" s="24">
        <v>3</v>
      </c>
      <c r="E44" s="23">
        <v>6535787</v>
      </c>
      <c r="F44" s="33">
        <v>6535787.4000000004</v>
      </c>
      <c r="G44" s="24">
        <v>0</v>
      </c>
      <c r="H44" s="23">
        <v>0</v>
      </c>
      <c r="I44" s="24">
        <v>2.3E-2</v>
      </c>
      <c r="J44" s="23">
        <v>50108</v>
      </c>
      <c r="K44" s="24">
        <v>3.0230000000000001</v>
      </c>
      <c r="L44" s="23">
        <v>6585895</v>
      </c>
    </row>
    <row r="45" spans="1:12" x14ac:dyDescent="0.25">
      <c r="A45" s="22" t="s">
        <v>5</v>
      </c>
      <c r="B45" s="22" t="s">
        <v>4</v>
      </c>
      <c r="C45" s="23">
        <v>595876131</v>
      </c>
      <c r="D45" s="24">
        <v>3.85</v>
      </c>
      <c r="E45" s="23">
        <v>2294123</v>
      </c>
      <c r="F45" s="33">
        <v>2294123.1043500002</v>
      </c>
      <c r="G45" s="24">
        <v>0</v>
      </c>
      <c r="H45" s="23">
        <v>0</v>
      </c>
      <c r="I45" s="24">
        <v>0</v>
      </c>
      <c r="J45" s="23">
        <v>0</v>
      </c>
      <c r="K45" s="24">
        <v>3.85</v>
      </c>
      <c r="L45" s="23">
        <v>2294123</v>
      </c>
    </row>
    <row r="46" spans="1:12" x14ac:dyDescent="0.25">
      <c r="A46" s="22" t="s">
        <v>58</v>
      </c>
      <c r="B46" s="22" t="s">
        <v>57</v>
      </c>
      <c r="C46" s="23">
        <v>81999570</v>
      </c>
      <c r="D46" s="24">
        <v>4.4000000000000004</v>
      </c>
      <c r="E46" s="23">
        <v>360798</v>
      </c>
      <c r="F46" s="33">
        <v>360798.10800000001</v>
      </c>
      <c r="G46" s="24">
        <v>1.694</v>
      </c>
      <c r="H46" s="23">
        <v>138907</v>
      </c>
      <c r="I46" s="24">
        <v>0</v>
      </c>
      <c r="J46" s="23">
        <v>0</v>
      </c>
      <c r="K46" s="24">
        <v>6.0940000000000003</v>
      </c>
      <c r="L46" s="23">
        <v>499705</v>
      </c>
    </row>
    <row r="47" spans="1:12" x14ac:dyDescent="0.25">
      <c r="A47" s="22" t="s">
        <v>59</v>
      </c>
      <c r="B47" s="22" t="s">
        <v>60</v>
      </c>
      <c r="C47" s="23">
        <v>233373710</v>
      </c>
      <c r="D47" s="24">
        <v>2.5</v>
      </c>
      <c r="E47" s="23">
        <v>583434</v>
      </c>
      <c r="F47" s="33">
        <v>583434.27500000002</v>
      </c>
      <c r="G47" s="24">
        <v>0</v>
      </c>
      <c r="H47" s="23">
        <v>0</v>
      </c>
      <c r="I47" s="24">
        <v>0</v>
      </c>
      <c r="J47" s="23">
        <v>0</v>
      </c>
      <c r="K47" s="24">
        <v>2.5</v>
      </c>
      <c r="L47" s="23">
        <v>583434</v>
      </c>
    </row>
    <row r="48" spans="1:12" x14ac:dyDescent="0.25">
      <c r="A48" s="22" t="s">
        <v>122</v>
      </c>
      <c r="B48" s="22" t="s">
        <v>8</v>
      </c>
      <c r="C48" s="23">
        <v>62655990</v>
      </c>
      <c r="D48" s="24">
        <v>1.5</v>
      </c>
      <c r="E48" s="23">
        <v>93984</v>
      </c>
      <c r="F48" s="33">
        <v>93983.985000000001</v>
      </c>
      <c r="G48" s="24">
        <v>0</v>
      </c>
      <c r="H48" s="23">
        <v>0</v>
      </c>
      <c r="I48" s="24">
        <v>0</v>
      </c>
      <c r="J48" s="23">
        <v>0</v>
      </c>
      <c r="K48" s="24">
        <v>1.5</v>
      </c>
      <c r="L48" s="23">
        <v>93984</v>
      </c>
    </row>
    <row r="49" spans="1:12" x14ac:dyDescent="0.25">
      <c r="A49" s="22" t="s">
        <v>85</v>
      </c>
      <c r="B49" s="22" t="s">
        <v>84</v>
      </c>
      <c r="C49" s="23">
        <v>35502183</v>
      </c>
      <c r="D49" s="24">
        <v>5.508</v>
      </c>
      <c r="E49" s="23">
        <v>195546</v>
      </c>
      <c r="F49" s="33">
        <v>195546.02396399999</v>
      </c>
      <c r="G49" s="24">
        <v>0</v>
      </c>
      <c r="H49" s="23">
        <v>0</v>
      </c>
      <c r="I49" s="24">
        <v>0</v>
      </c>
      <c r="J49" s="23">
        <v>0</v>
      </c>
      <c r="K49" s="24">
        <v>5.508</v>
      </c>
      <c r="L49" s="23">
        <v>195546</v>
      </c>
    </row>
    <row r="50" spans="1:12" x14ac:dyDescent="0.25">
      <c r="A50" s="22" t="s">
        <v>81</v>
      </c>
      <c r="B50" s="22" t="s">
        <v>82</v>
      </c>
      <c r="C50" s="23">
        <v>8218213120</v>
      </c>
      <c r="D50" s="24">
        <v>3.8220000000000001</v>
      </c>
      <c r="E50" s="23">
        <v>31410010</v>
      </c>
      <c r="F50" s="33">
        <v>31410010.544639997</v>
      </c>
      <c r="G50" s="24">
        <v>0</v>
      </c>
      <c r="H50" s="23">
        <v>0</v>
      </c>
      <c r="I50" s="24">
        <v>3.3000000000000002E-2</v>
      </c>
      <c r="J50" s="23">
        <v>271201</v>
      </c>
      <c r="K50" s="24">
        <v>3.855</v>
      </c>
      <c r="L50" s="23">
        <v>31681211</v>
      </c>
    </row>
    <row r="51" spans="1:12" x14ac:dyDescent="0.25">
      <c r="A51" s="22" t="s">
        <v>105</v>
      </c>
      <c r="B51" s="22" t="s">
        <v>104</v>
      </c>
      <c r="C51" s="23">
        <v>212517200</v>
      </c>
      <c r="D51" s="24">
        <v>4</v>
      </c>
      <c r="E51" s="23">
        <v>850069</v>
      </c>
      <c r="F51" s="33">
        <v>850068.8</v>
      </c>
      <c r="G51" s="24">
        <v>0</v>
      </c>
      <c r="H51" s="23">
        <v>0</v>
      </c>
      <c r="I51" s="24">
        <v>0</v>
      </c>
      <c r="J51" s="23">
        <v>0</v>
      </c>
      <c r="K51" s="24">
        <v>4</v>
      </c>
      <c r="L51" s="23">
        <v>850069</v>
      </c>
    </row>
    <row r="52" spans="1:12" x14ac:dyDescent="0.25">
      <c r="A52" s="22" t="s">
        <v>11</v>
      </c>
      <c r="B52" s="22" t="s">
        <v>10</v>
      </c>
      <c r="C52" s="23">
        <v>3236272110</v>
      </c>
      <c r="D52" s="24">
        <v>1.4119999999999999</v>
      </c>
      <c r="E52" s="23">
        <v>4569616</v>
      </c>
      <c r="F52" s="33">
        <v>4569616.2193199992</v>
      </c>
      <c r="G52" s="24">
        <v>0</v>
      </c>
      <c r="H52" s="23">
        <v>0</v>
      </c>
      <c r="I52" s="24">
        <v>2.4E-2</v>
      </c>
      <c r="J52" s="23">
        <v>77671</v>
      </c>
      <c r="K52" s="24">
        <v>1.4359999999999999</v>
      </c>
      <c r="L52" s="23">
        <v>4647287</v>
      </c>
    </row>
    <row r="53" spans="1:12" x14ac:dyDescent="0.25">
      <c r="A53" s="22" t="s">
        <v>35</v>
      </c>
      <c r="B53" s="22" t="s">
        <v>107</v>
      </c>
      <c r="C53" s="23">
        <v>3849235896</v>
      </c>
      <c r="D53" s="24">
        <v>3</v>
      </c>
      <c r="E53" s="23">
        <v>11547708</v>
      </c>
      <c r="F53" s="33">
        <v>11547707.688000001</v>
      </c>
      <c r="G53" s="24">
        <v>0</v>
      </c>
      <c r="H53" s="23">
        <v>0</v>
      </c>
      <c r="I53" s="24">
        <v>0</v>
      </c>
      <c r="J53" s="23">
        <v>0</v>
      </c>
      <c r="K53" s="24">
        <v>3</v>
      </c>
      <c r="L53" s="23">
        <v>11547708</v>
      </c>
    </row>
    <row r="54" spans="1:12" x14ac:dyDescent="0.25">
      <c r="A54" s="22" t="s">
        <v>12</v>
      </c>
      <c r="B54" s="22" t="s">
        <v>13</v>
      </c>
      <c r="C54" s="23">
        <v>147703780</v>
      </c>
      <c r="D54" s="24">
        <v>0</v>
      </c>
      <c r="E54" s="23">
        <v>0</v>
      </c>
      <c r="F54" s="33">
        <v>0</v>
      </c>
      <c r="G54" s="24">
        <v>0</v>
      </c>
      <c r="H54" s="23">
        <v>0</v>
      </c>
      <c r="I54" s="24">
        <v>0</v>
      </c>
      <c r="J54" s="23">
        <v>0</v>
      </c>
      <c r="K54" s="24">
        <v>0</v>
      </c>
      <c r="L54" s="23">
        <v>0</v>
      </c>
    </row>
    <row r="55" spans="1:12" x14ac:dyDescent="0.25">
      <c r="A55" s="22" t="s">
        <v>14</v>
      </c>
      <c r="B55" s="22" t="s">
        <v>15</v>
      </c>
      <c r="C55" s="23">
        <v>1950190741</v>
      </c>
      <c r="D55" s="24">
        <v>5.85</v>
      </c>
      <c r="E55" s="23">
        <v>11408616</v>
      </c>
      <c r="F55" s="33">
        <v>11408615.834849998</v>
      </c>
      <c r="G55" s="24">
        <v>0</v>
      </c>
      <c r="H55" s="23">
        <v>0</v>
      </c>
      <c r="I55" s="24">
        <v>2.1999999999999999E-2</v>
      </c>
      <c r="J55" s="23">
        <v>42904</v>
      </c>
      <c r="K55" s="24">
        <v>5.8719999999999999</v>
      </c>
      <c r="L55" s="23">
        <v>11451520</v>
      </c>
    </row>
    <row r="56" spans="1:12" x14ac:dyDescent="0.25">
      <c r="A56" s="22" t="s">
        <v>28</v>
      </c>
      <c r="B56" s="22" t="s">
        <v>29</v>
      </c>
      <c r="C56" s="23">
        <v>307497750</v>
      </c>
      <c r="D56" s="24">
        <v>4.1189999999999998</v>
      </c>
      <c r="E56" s="23">
        <v>1266583</v>
      </c>
      <c r="F56" s="33">
        <v>1266583.2322499999</v>
      </c>
      <c r="G56" s="24">
        <v>0</v>
      </c>
      <c r="H56" s="23">
        <v>0</v>
      </c>
      <c r="I56" s="24">
        <v>8.2000000000000003E-2</v>
      </c>
      <c r="J56" s="23">
        <v>25215</v>
      </c>
      <c r="K56" s="24">
        <v>4.2009999999999996</v>
      </c>
      <c r="L56" s="23">
        <v>1291798</v>
      </c>
    </row>
    <row r="57" spans="1:12" x14ac:dyDescent="0.25">
      <c r="A57" s="22" t="s">
        <v>18</v>
      </c>
      <c r="B57" s="22" t="s">
        <v>17</v>
      </c>
      <c r="C57" s="23">
        <v>243729520</v>
      </c>
      <c r="D57" s="24">
        <v>0.5</v>
      </c>
      <c r="E57" s="23">
        <v>121865</v>
      </c>
      <c r="F57" s="33">
        <v>121864.76000000001</v>
      </c>
      <c r="G57" s="24">
        <v>0</v>
      </c>
      <c r="H57" s="23">
        <v>0</v>
      </c>
      <c r="I57" s="24">
        <v>0</v>
      </c>
      <c r="J57" s="23">
        <v>0</v>
      </c>
      <c r="K57" s="24">
        <v>0.5</v>
      </c>
      <c r="L57" s="23">
        <v>121865</v>
      </c>
    </row>
    <row r="58" spans="1:12" x14ac:dyDescent="0.25">
      <c r="A58" s="22" t="s">
        <v>50</v>
      </c>
      <c r="B58" s="22" t="s">
        <v>49</v>
      </c>
      <c r="C58" s="23">
        <v>6579200250</v>
      </c>
      <c r="D58" s="24">
        <v>3.6589999999999998</v>
      </c>
      <c r="E58" s="23">
        <v>24073294</v>
      </c>
      <c r="F58" s="33">
        <v>24073293.714749999</v>
      </c>
      <c r="G58" s="24">
        <v>0</v>
      </c>
      <c r="H58" s="23">
        <v>0</v>
      </c>
      <c r="I58" s="24">
        <v>1.0999999999999999E-2</v>
      </c>
      <c r="J58" s="23">
        <v>72371</v>
      </c>
      <c r="K58" s="24">
        <v>3.67</v>
      </c>
      <c r="L58" s="23">
        <v>24145665</v>
      </c>
    </row>
    <row r="59" spans="1:12" x14ac:dyDescent="0.25">
      <c r="A59" s="22" t="s">
        <v>109</v>
      </c>
      <c r="B59" s="22" t="s">
        <v>107</v>
      </c>
      <c r="C59" s="23">
        <v>67844795</v>
      </c>
      <c r="D59" s="24">
        <v>4.75</v>
      </c>
      <c r="E59" s="23">
        <v>322263</v>
      </c>
      <c r="F59" s="33">
        <v>322262.77625</v>
      </c>
      <c r="G59" s="24">
        <v>0</v>
      </c>
      <c r="H59" s="23">
        <v>0</v>
      </c>
      <c r="I59" s="24">
        <v>0</v>
      </c>
      <c r="J59" s="23">
        <v>0</v>
      </c>
      <c r="K59" s="24">
        <v>4.75</v>
      </c>
      <c r="L59" s="23">
        <v>322263</v>
      </c>
    </row>
    <row r="60" spans="1:12" x14ac:dyDescent="0.25">
      <c r="A60" s="22" t="s">
        <v>9</v>
      </c>
      <c r="B60" s="22" t="s">
        <v>8</v>
      </c>
      <c r="C60" s="23">
        <v>110033040</v>
      </c>
      <c r="D60" s="24">
        <v>2.8</v>
      </c>
      <c r="E60" s="23">
        <v>308093</v>
      </c>
      <c r="F60" s="33">
        <v>308092.51199999999</v>
      </c>
      <c r="G60" s="24">
        <v>0</v>
      </c>
      <c r="H60" s="23">
        <v>0</v>
      </c>
      <c r="I60" s="24">
        <v>2.5999999999999999E-2</v>
      </c>
      <c r="J60" s="23">
        <v>2861</v>
      </c>
      <c r="K60" s="24">
        <v>2.8259999999999996</v>
      </c>
      <c r="L60" s="23">
        <v>310954</v>
      </c>
    </row>
    <row r="61" spans="1:12" x14ac:dyDescent="0.25">
      <c r="A61" s="22" t="s">
        <v>19</v>
      </c>
      <c r="B61" s="22" t="s">
        <v>20</v>
      </c>
      <c r="C61" s="23">
        <v>202982089</v>
      </c>
      <c r="D61" s="24">
        <v>1.5</v>
      </c>
      <c r="E61" s="23">
        <v>304473</v>
      </c>
      <c r="F61" s="33">
        <v>304473.1335</v>
      </c>
      <c r="G61" s="24">
        <v>0</v>
      </c>
      <c r="H61" s="23">
        <v>0</v>
      </c>
      <c r="I61" s="24">
        <v>0</v>
      </c>
      <c r="J61" s="23">
        <v>0</v>
      </c>
      <c r="K61" s="24">
        <v>1.5</v>
      </c>
      <c r="L61" s="23">
        <v>304473</v>
      </c>
    </row>
    <row r="62" spans="1:12" x14ac:dyDescent="0.25">
      <c r="A62" s="22" t="s">
        <v>127</v>
      </c>
      <c r="B62" s="22" t="s">
        <v>60</v>
      </c>
      <c r="C62" s="23">
        <v>277252780</v>
      </c>
      <c r="D62" s="24">
        <v>3.5</v>
      </c>
      <c r="E62" s="23">
        <v>970385</v>
      </c>
      <c r="F62" s="33">
        <v>970384.73</v>
      </c>
      <c r="G62" s="24">
        <v>0</v>
      </c>
      <c r="H62" s="23">
        <v>0</v>
      </c>
      <c r="I62" s="24">
        <v>3.0000000000000001E-3</v>
      </c>
      <c r="J62" s="23">
        <v>832</v>
      </c>
      <c r="K62" s="24">
        <v>3.5030000000000001</v>
      </c>
      <c r="L62" s="23">
        <v>971217</v>
      </c>
    </row>
    <row r="63" spans="1:12" x14ac:dyDescent="0.25">
      <c r="A63" s="22" t="s">
        <v>30</v>
      </c>
      <c r="B63" s="22" t="s">
        <v>29</v>
      </c>
      <c r="C63" s="23">
        <v>398027940</v>
      </c>
      <c r="D63" s="24">
        <v>0.45099999999999996</v>
      </c>
      <c r="E63" s="23">
        <v>179511</v>
      </c>
      <c r="F63" s="33">
        <v>179510.60093999997</v>
      </c>
      <c r="G63" s="24">
        <v>0</v>
      </c>
      <c r="H63" s="23">
        <v>0</v>
      </c>
      <c r="I63" s="24">
        <v>0</v>
      </c>
      <c r="J63" s="23">
        <v>0</v>
      </c>
      <c r="K63" s="24">
        <v>0.45099999999999996</v>
      </c>
      <c r="L63" s="23">
        <v>179511</v>
      </c>
    </row>
    <row r="64" spans="1:12" x14ac:dyDescent="0.25">
      <c r="A64" s="22" t="s">
        <v>114</v>
      </c>
      <c r="B64" s="22" t="s">
        <v>25</v>
      </c>
      <c r="C64" s="23">
        <v>832928810</v>
      </c>
      <c r="D64" s="24">
        <v>3.625</v>
      </c>
      <c r="E64" s="23">
        <v>3019367</v>
      </c>
      <c r="F64" s="33">
        <v>3019366.9362500003</v>
      </c>
      <c r="G64" s="24">
        <v>0</v>
      </c>
      <c r="H64" s="23">
        <v>0</v>
      </c>
      <c r="I64" s="24">
        <v>8.9999999999999993E-3</v>
      </c>
      <c r="J64" s="23">
        <v>7496</v>
      </c>
      <c r="K64" s="24">
        <v>3.6339999999999999</v>
      </c>
      <c r="L64" s="23">
        <v>3026863</v>
      </c>
    </row>
    <row r="65" spans="1:12" x14ac:dyDescent="0.25">
      <c r="A65" s="22" t="s">
        <v>113</v>
      </c>
      <c r="B65" s="22" t="s">
        <v>25</v>
      </c>
      <c r="C65" s="23">
        <v>38215690</v>
      </c>
      <c r="D65" s="24">
        <v>10.428000000000001</v>
      </c>
      <c r="E65" s="23">
        <v>398513</v>
      </c>
      <c r="F65" s="33">
        <v>398513.21532000008</v>
      </c>
      <c r="G65" s="24">
        <v>0</v>
      </c>
      <c r="H65" s="23">
        <v>0</v>
      </c>
      <c r="I65" s="24">
        <v>0</v>
      </c>
      <c r="J65" s="23">
        <v>0</v>
      </c>
      <c r="K65" s="24">
        <v>10.428000000000001</v>
      </c>
      <c r="L65" s="23">
        <v>398513</v>
      </c>
    </row>
    <row r="66" spans="1:12" x14ac:dyDescent="0.25">
      <c r="A66" s="22" t="s">
        <v>23</v>
      </c>
      <c r="B66" s="22" t="s">
        <v>22</v>
      </c>
      <c r="C66" s="23">
        <v>88955495</v>
      </c>
      <c r="D66" s="24">
        <v>1.125</v>
      </c>
      <c r="E66" s="23">
        <v>100075</v>
      </c>
      <c r="F66" s="33">
        <v>100074.93187499999</v>
      </c>
      <c r="G66" s="24">
        <v>0</v>
      </c>
      <c r="H66" s="23">
        <v>0</v>
      </c>
      <c r="I66" s="24">
        <v>0</v>
      </c>
      <c r="J66" s="23">
        <v>0</v>
      </c>
      <c r="K66" s="24">
        <v>1.125</v>
      </c>
      <c r="L66" s="23">
        <v>100075</v>
      </c>
    </row>
    <row r="67" spans="1:12" x14ac:dyDescent="0.25">
      <c r="A67" s="22" t="s">
        <v>129</v>
      </c>
      <c r="B67" s="22" t="s">
        <v>130</v>
      </c>
      <c r="C67" s="23">
        <v>255256770</v>
      </c>
      <c r="D67" s="24">
        <v>1.5</v>
      </c>
      <c r="E67" s="23">
        <v>382885</v>
      </c>
      <c r="F67" s="33">
        <v>382885.15500000003</v>
      </c>
      <c r="G67" s="24">
        <v>0</v>
      </c>
      <c r="H67" s="23">
        <v>0</v>
      </c>
      <c r="I67" s="24">
        <v>0</v>
      </c>
      <c r="J67" s="23">
        <v>0</v>
      </c>
      <c r="K67" s="24">
        <v>1.5</v>
      </c>
      <c r="L67" s="23">
        <v>382885</v>
      </c>
    </row>
    <row r="68" spans="1:12" x14ac:dyDescent="0.25">
      <c r="A68" s="22" t="s">
        <v>97</v>
      </c>
      <c r="B68" s="22" t="s">
        <v>96</v>
      </c>
      <c r="C68" s="23">
        <v>93755293</v>
      </c>
      <c r="D68" s="24">
        <v>2.08</v>
      </c>
      <c r="E68" s="23">
        <v>195011</v>
      </c>
      <c r="F68" s="33">
        <v>195011.00944000002</v>
      </c>
      <c r="G68" s="24">
        <v>2.02</v>
      </c>
      <c r="H68" s="23">
        <v>189386</v>
      </c>
      <c r="I68" s="24">
        <v>0.19400000000000001</v>
      </c>
      <c r="J68" s="23">
        <v>18189</v>
      </c>
      <c r="K68" s="24">
        <v>4.2939999999999996</v>
      </c>
      <c r="L68" s="23">
        <v>402586</v>
      </c>
    </row>
    <row r="69" spans="1:12" x14ac:dyDescent="0.25">
      <c r="A69" s="22" t="s">
        <v>26</v>
      </c>
      <c r="B69" s="22" t="s">
        <v>27</v>
      </c>
      <c r="C69" s="23">
        <v>2271614210</v>
      </c>
      <c r="D69" s="24">
        <v>0.59799999999999998</v>
      </c>
      <c r="E69" s="23">
        <v>1358425</v>
      </c>
      <c r="F69" s="33">
        <v>1358425.29758</v>
      </c>
      <c r="G69" s="24">
        <v>0</v>
      </c>
      <c r="H69" s="23">
        <v>0</v>
      </c>
      <c r="I69" s="24">
        <v>0</v>
      </c>
      <c r="J69" s="23">
        <v>0</v>
      </c>
      <c r="K69" s="24">
        <v>0.59799999999999998</v>
      </c>
      <c r="L69" s="23">
        <v>1358425</v>
      </c>
    </row>
    <row r="70" spans="1:12" x14ac:dyDescent="0.25">
      <c r="A70" s="22" t="s">
        <v>52</v>
      </c>
      <c r="B70" s="22" t="s">
        <v>53</v>
      </c>
      <c r="C70" s="23">
        <v>346894680</v>
      </c>
      <c r="D70" s="24">
        <v>1.5</v>
      </c>
      <c r="E70" s="23">
        <v>520342</v>
      </c>
      <c r="F70" s="33">
        <v>520342.02</v>
      </c>
      <c r="G70" s="24">
        <v>0</v>
      </c>
      <c r="H70" s="23">
        <v>0</v>
      </c>
      <c r="I70" s="24">
        <v>2E-3</v>
      </c>
      <c r="J70" s="23">
        <v>694</v>
      </c>
      <c r="K70" s="24">
        <v>1.502</v>
      </c>
      <c r="L70" s="23">
        <v>521036</v>
      </c>
    </row>
    <row r="71" spans="1:12" x14ac:dyDescent="0.25">
      <c r="A71" t="s">
        <v>69</v>
      </c>
      <c r="B71" t="s">
        <v>70</v>
      </c>
      <c r="C71" s="2">
        <v>104429710</v>
      </c>
      <c r="D71" s="19">
        <v>1.9830000000000001</v>
      </c>
      <c r="E71" s="2">
        <v>207084</v>
      </c>
      <c r="F71" s="70">
        <v>207084.11492999998</v>
      </c>
      <c r="G71" s="19">
        <v>0</v>
      </c>
      <c r="H71" s="2">
        <v>0</v>
      </c>
      <c r="I71" s="19">
        <v>0</v>
      </c>
      <c r="J71" s="2">
        <v>0</v>
      </c>
      <c r="K71" s="19">
        <v>1.9830000000000001</v>
      </c>
      <c r="L71" s="2">
        <v>207084</v>
      </c>
    </row>
    <row r="72" spans="1:12" x14ac:dyDescent="0.25">
      <c r="A72" s="22" t="s">
        <v>24</v>
      </c>
      <c r="B72" s="22" t="s">
        <v>22</v>
      </c>
      <c r="C72" s="23">
        <v>127576135</v>
      </c>
      <c r="D72" s="24">
        <v>1.7110000000000001</v>
      </c>
      <c r="E72" s="23">
        <v>218283</v>
      </c>
      <c r="F72" s="33">
        <v>218282.76698499999</v>
      </c>
      <c r="G72" s="24">
        <v>0</v>
      </c>
      <c r="H72" s="23">
        <v>0</v>
      </c>
      <c r="I72" s="24">
        <v>0</v>
      </c>
      <c r="J72" s="23">
        <v>0</v>
      </c>
      <c r="K72" s="24">
        <v>1.7110000000000001</v>
      </c>
      <c r="L72" s="23">
        <v>218283</v>
      </c>
    </row>
    <row r="73" spans="1:12" x14ac:dyDescent="0.25">
      <c r="C73" s="34"/>
      <c r="D73" s="34"/>
      <c r="E73" s="34"/>
      <c r="F73" s="41"/>
      <c r="G73" s="34"/>
      <c r="H73" s="34"/>
      <c r="I73" s="34"/>
      <c r="J73" s="34"/>
      <c r="K73" s="34"/>
      <c r="L73" s="34"/>
    </row>
    <row r="74" spans="1:12" x14ac:dyDescent="0.25">
      <c r="C74" s="34"/>
      <c r="D74" s="34"/>
      <c r="E74" s="34"/>
      <c r="F74" s="41"/>
      <c r="G74" s="34"/>
      <c r="H74" s="34"/>
      <c r="I74" s="34"/>
      <c r="J74" s="34"/>
      <c r="K74" s="34"/>
      <c r="L74" s="34"/>
    </row>
    <row r="75" spans="1:12" x14ac:dyDescent="0.25">
      <c r="C75" s="34"/>
      <c r="D75" s="34"/>
      <c r="E75" s="34"/>
      <c r="F75" s="41"/>
      <c r="G75" s="34"/>
      <c r="H75" s="34"/>
      <c r="I75" s="34"/>
      <c r="J75" s="34"/>
      <c r="K75" s="34"/>
      <c r="L75" s="34"/>
    </row>
    <row r="76" spans="1:12" x14ac:dyDescent="0.25">
      <c r="A76" s="34" t="s">
        <v>139</v>
      </c>
      <c r="D76" s="56"/>
      <c r="E76" s="57"/>
      <c r="F76" s="58"/>
    </row>
    <row r="77" spans="1:12" x14ac:dyDescent="0.25">
      <c r="C77" s="35"/>
      <c r="E77" s="59"/>
      <c r="F77" s="60"/>
    </row>
    <row r="78" spans="1:12" x14ac:dyDescent="0.25">
      <c r="B78" s="61"/>
      <c r="E78" s="59"/>
      <c r="F78" s="60"/>
    </row>
    <row r="79" spans="1:12" x14ac:dyDescent="0.25">
      <c r="E79" s="59"/>
      <c r="F79" s="60"/>
    </row>
    <row r="80" spans="1:12" x14ac:dyDescent="0.25">
      <c r="A80" s="37"/>
      <c r="B80" s="35"/>
      <c r="E80" s="59"/>
      <c r="F80" s="60"/>
    </row>
    <row r="81" spans="5:6" x14ac:dyDescent="0.25">
      <c r="E81" s="59"/>
      <c r="F81" s="60"/>
    </row>
  </sheetData>
  <mergeCells count="6">
    <mergeCell ref="K3:L3"/>
    <mergeCell ref="D5:E5"/>
    <mergeCell ref="A1:C1"/>
    <mergeCell ref="D3:E3"/>
    <mergeCell ref="G3:H3"/>
    <mergeCell ref="I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83FEA-2E34-471F-B53A-9A81238F6209}">
  <dimension ref="A1:L84"/>
  <sheetViews>
    <sheetView topLeftCell="A60" workbookViewId="0">
      <selection activeCell="L72" sqref="L72"/>
    </sheetView>
  </sheetViews>
  <sheetFormatPr defaultColWidth="8.7109375" defaultRowHeight="15" x14ac:dyDescent="0.25"/>
  <cols>
    <col min="1" max="1" width="66.28515625" style="34" customWidth="1"/>
    <col min="2" max="2" width="12.42578125" style="34" customWidth="1"/>
    <col min="3" max="3" width="26.28515625" style="38" customWidth="1"/>
    <col min="4" max="4" width="14.28515625" style="37" customWidth="1"/>
    <col min="5" max="5" width="19.42578125" style="38" customWidth="1"/>
    <col min="6" max="6" width="19.42578125" style="65" hidden="1" customWidth="1"/>
    <col min="7" max="7" width="12.5703125" style="37" customWidth="1"/>
    <col min="8" max="8" width="13.28515625" style="38" customWidth="1"/>
    <col min="9" max="9" width="12.28515625" style="37" customWidth="1"/>
    <col min="10" max="10" width="20.42578125" style="38" customWidth="1"/>
    <col min="11" max="11" width="13" style="37" customWidth="1"/>
    <col min="12" max="12" width="15.28515625" style="40" bestFit="1" customWidth="1"/>
    <col min="13" max="16384" width="8.7109375" style="34"/>
  </cols>
  <sheetData>
    <row r="1" spans="1:12" ht="16.5" thickBot="1" x14ac:dyDescent="0.3">
      <c r="A1" s="93" t="s">
        <v>141</v>
      </c>
      <c r="B1" s="94"/>
      <c r="C1" s="95"/>
    </row>
    <row r="2" spans="1:12" x14ac:dyDescent="0.25">
      <c r="C2" s="34"/>
      <c r="D2" s="34"/>
      <c r="E2" s="34"/>
      <c r="F2" s="35"/>
      <c r="G2" s="34"/>
      <c r="H2" s="34"/>
      <c r="I2" s="34"/>
      <c r="J2" s="34"/>
      <c r="K2" s="34"/>
      <c r="L2" s="34"/>
    </row>
    <row r="3" spans="1:12" x14ac:dyDescent="0.25">
      <c r="A3" s="42"/>
      <c r="C3" s="43"/>
      <c r="D3" s="96" t="s">
        <v>32</v>
      </c>
      <c r="E3" s="96"/>
      <c r="F3" s="46"/>
      <c r="G3" s="96" t="s">
        <v>62</v>
      </c>
      <c r="H3" s="96"/>
      <c r="I3" s="96" t="s">
        <v>46</v>
      </c>
      <c r="J3" s="96"/>
      <c r="K3" s="91" t="s">
        <v>47</v>
      </c>
      <c r="L3" s="91"/>
    </row>
    <row r="4" spans="1:12" x14ac:dyDescent="0.25">
      <c r="A4" s="44" t="s">
        <v>34</v>
      </c>
      <c r="B4" s="44" t="s">
        <v>48</v>
      </c>
      <c r="C4" s="47" t="s">
        <v>43</v>
      </c>
      <c r="D4" s="48" t="s">
        <v>44</v>
      </c>
      <c r="E4" s="47" t="s">
        <v>45</v>
      </c>
      <c r="F4" s="66"/>
      <c r="G4" s="48" t="s">
        <v>44</v>
      </c>
      <c r="H4" s="47" t="s">
        <v>45</v>
      </c>
      <c r="I4" s="48" t="s">
        <v>44</v>
      </c>
      <c r="J4" s="47" t="s">
        <v>45</v>
      </c>
      <c r="K4" s="48" t="s">
        <v>44</v>
      </c>
      <c r="L4" s="50" t="s">
        <v>45</v>
      </c>
    </row>
    <row r="5" spans="1:12" ht="15.75" thickBot="1" x14ac:dyDescent="0.3">
      <c r="A5" s="51"/>
      <c r="B5" s="51"/>
      <c r="C5" s="52"/>
      <c r="D5" s="92" t="s">
        <v>33</v>
      </c>
      <c r="E5" s="92"/>
      <c r="F5" s="55" t="s">
        <v>121</v>
      </c>
      <c r="G5" s="53"/>
      <c r="H5" s="53"/>
      <c r="I5" s="53"/>
      <c r="J5" s="53"/>
      <c r="K5" s="55"/>
      <c r="L5" s="53"/>
    </row>
    <row r="6" spans="1:12" s="62" customFormat="1" x14ac:dyDescent="0.25">
      <c r="A6" s="62" t="s">
        <v>42</v>
      </c>
      <c r="B6" s="62" t="s">
        <v>49</v>
      </c>
      <c r="C6" s="63">
        <v>4468540</v>
      </c>
      <c r="D6" s="64">
        <v>5.7350000000000003</v>
      </c>
      <c r="E6" s="63">
        <f>((D6/1000)*C6)</f>
        <v>25627.076900000004</v>
      </c>
      <c r="F6" s="23">
        <f t="shared" ref="F6:F40" si="0">((D6/1000)*C6)</f>
        <v>25627.076900000004</v>
      </c>
      <c r="G6" s="64">
        <v>0</v>
      </c>
      <c r="H6" s="63">
        <v>0</v>
      </c>
      <c r="I6" s="64">
        <v>5.5E-2</v>
      </c>
      <c r="J6" s="63">
        <v>246</v>
      </c>
      <c r="K6" s="64">
        <f t="shared" ref="K6:K47" si="1">D6+G6+I6</f>
        <v>5.79</v>
      </c>
      <c r="L6" s="63">
        <f t="shared" ref="L6:L47" si="2">E6+H6+J6</f>
        <v>25873.076900000004</v>
      </c>
    </row>
    <row r="7" spans="1:12" s="22" customFormat="1" x14ac:dyDescent="0.25">
      <c r="A7" s="22" t="s">
        <v>42</v>
      </c>
      <c r="B7" s="22" t="s">
        <v>51</v>
      </c>
      <c r="C7" s="23">
        <v>7254683430</v>
      </c>
      <c r="D7" s="24">
        <v>5.7350000000000003</v>
      </c>
      <c r="E7" s="69">
        <f>((D7/1000)*C7)</f>
        <v>41605609.471050002</v>
      </c>
      <c r="F7" s="23">
        <f t="shared" si="0"/>
        <v>41605609.471050002</v>
      </c>
      <c r="G7" s="24">
        <v>0</v>
      </c>
      <c r="H7" s="23">
        <v>0</v>
      </c>
      <c r="I7" s="24">
        <v>5.5E-2</v>
      </c>
      <c r="J7" s="23">
        <v>399008</v>
      </c>
      <c r="K7" s="24">
        <f t="shared" si="1"/>
        <v>5.79</v>
      </c>
      <c r="L7" s="23">
        <f t="shared" si="2"/>
        <v>42004617.471050002</v>
      </c>
    </row>
    <row r="8" spans="1:12" s="22" customFormat="1" x14ac:dyDescent="0.25">
      <c r="A8" s="22" t="s">
        <v>76</v>
      </c>
      <c r="B8" s="22" t="s">
        <v>77</v>
      </c>
      <c r="C8" s="23">
        <v>271560910</v>
      </c>
      <c r="D8" s="24">
        <v>2.61</v>
      </c>
      <c r="E8" s="69">
        <f>((D8/1000)*C8)</f>
        <v>708773.97509999992</v>
      </c>
      <c r="F8" s="23">
        <f t="shared" si="0"/>
        <v>708773.97509999992</v>
      </c>
      <c r="G8" s="24">
        <v>2</v>
      </c>
      <c r="H8" s="23">
        <v>543122</v>
      </c>
      <c r="I8" s="24">
        <v>0.753</v>
      </c>
      <c r="J8" s="23">
        <v>204485</v>
      </c>
      <c r="K8" s="24">
        <f t="shared" si="1"/>
        <v>5.3629999999999995</v>
      </c>
      <c r="L8" s="23">
        <f t="shared" si="2"/>
        <v>1456380.9750999999</v>
      </c>
    </row>
    <row r="9" spans="1:12" s="22" customFormat="1" x14ac:dyDescent="0.25">
      <c r="A9" s="22" t="s">
        <v>76</v>
      </c>
      <c r="B9" s="22" t="s">
        <v>10</v>
      </c>
      <c r="C9" s="23">
        <v>192808360</v>
      </c>
      <c r="D9" s="24">
        <v>2.61</v>
      </c>
      <c r="E9" s="69">
        <f t="shared" ref="E9:E75" si="3">((D9/1000)*C9)</f>
        <v>503229.81959999999</v>
      </c>
      <c r="F9" s="23">
        <f t="shared" si="0"/>
        <v>503229.81959999999</v>
      </c>
      <c r="G9" s="24">
        <v>2</v>
      </c>
      <c r="H9" s="23">
        <v>385617</v>
      </c>
      <c r="I9" s="24">
        <v>0.753</v>
      </c>
      <c r="J9" s="23">
        <v>145185</v>
      </c>
      <c r="K9" s="24">
        <f t="shared" si="1"/>
        <v>5.3629999999999995</v>
      </c>
      <c r="L9" s="23">
        <f t="shared" si="2"/>
        <v>1034031.8196</v>
      </c>
    </row>
    <row r="10" spans="1:12" s="22" customFormat="1" x14ac:dyDescent="0.25">
      <c r="A10" s="22" t="s">
        <v>106</v>
      </c>
      <c r="B10" s="22" t="s">
        <v>107</v>
      </c>
      <c r="C10" s="23">
        <v>290174162</v>
      </c>
      <c r="D10" s="24">
        <v>2.4</v>
      </c>
      <c r="E10" s="69">
        <f t="shared" si="3"/>
        <v>696417.98879999993</v>
      </c>
      <c r="F10" s="23">
        <f t="shared" si="0"/>
        <v>696417.98879999993</v>
      </c>
      <c r="G10" s="24">
        <v>0</v>
      </c>
      <c r="H10" s="23">
        <v>0</v>
      </c>
      <c r="I10" s="24">
        <v>0</v>
      </c>
      <c r="J10" s="23">
        <v>0</v>
      </c>
      <c r="K10" s="24">
        <f t="shared" si="1"/>
        <v>2.4</v>
      </c>
      <c r="L10" s="23">
        <f t="shared" si="2"/>
        <v>696417.98879999993</v>
      </c>
    </row>
    <row r="11" spans="1:12" s="22" customFormat="1" x14ac:dyDescent="0.25">
      <c r="A11" s="22" t="s">
        <v>65</v>
      </c>
      <c r="B11" s="22" t="s">
        <v>111</v>
      </c>
      <c r="C11" s="23">
        <v>337851980</v>
      </c>
      <c r="D11" s="24">
        <v>2</v>
      </c>
      <c r="E11" s="69">
        <f t="shared" si="3"/>
        <v>675703.96</v>
      </c>
      <c r="F11" s="23">
        <f t="shared" si="0"/>
        <v>675703.96</v>
      </c>
      <c r="G11" s="24">
        <v>0</v>
      </c>
      <c r="H11" s="23">
        <v>0</v>
      </c>
      <c r="I11" s="24">
        <v>0</v>
      </c>
      <c r="J11" s="23">
        <v>0</v>
      </c>
      <c r="K11" s="24">
        <f t="shared" si="1"/>
        <v>2</v>
      </c>
      <c r="L11" s="23">
        <f t="shared" si="2"/>
        <v>675703.96</v>
      </c>
    </row>
    <row r="12" spans="1:12" s="22" customFormat="1" x14ac:dyDescent="0.25">
      <c r="A12" s="22" t="s">
        <v>36</v>
      </c>
      <c r="B12" s="22" t="s">
        <v>31</v>
      </c>
      <c r="C12" s="23">
        <v>1169366540</v>
      </c>
      <c r="D12" s="24">
        <v>3.5459999999999998</v>
      </c>
      <c r="E12" s="69">
        <f t="shared" si="3"/>
        <v>4146573.7508399994</v>
      </c>
      <c r="F12" s="23">
        <f t="shared" si="0"/>
        <v>4146573.7508399994</v>
      </c>
      <c r="G12" s="24">
        <v>0</v>
      </c>
      <c r="H12" s="23">
        <v>0</v>
      </c>
      <c r="I12" s="24">
        <v>1.0999999999999999E-2</v>
      </c>
      <c r="J12" s="23">
        <v>12863</v>
      </c>
      <c r="K12" s="24">
        <f t="shared" si="1"/>
        <v>3.5569999999999999</v>
      </c>
      <c r="L12" s="23">
        <f t="shared" si="2"/>
        <v>4159436.7508399994</v>
      </c>
    </row>
    <row r="13" spans="1:12" s="22" customFormat="1" x14ac:dyDescent="0.25">
      <c r="A13" s="22" t="s">
        <v>66</v>
      </c>
      <c r="B13" s="22" t="s">
        <v>37</v>
      </c>
      <c r="C13" s="23">
        <v>81862907</v>
      </c>
      <c r="D13" s="24">
        <f>2-0.073</f>
        <v>1.927</v>
      </c>
      <c r="E13" s="69">
        <f t="shared" si="3"/>
        <v>157749.82178900001</v>
      </c>
      <c r="F13" s="23">
        <f t="shared" si="0"/>
        <v>157749.82178900001</v>
      </c>
      <c r="G13" s="24">
        <v>0</v>
      </c>
      <c r="H13" s="23">
        <v>0</v>
      </c>
      <c r="I13" s="24">
        <v>2E-3</v>
      </c>
      <c r="J13" s="23">
        <v>164</v>
      </c>
      <c r="K13" s="24">
        <f t="shared" si="1"/>
        <v>1.929</v>
      </c>
      <c r="L13" s="23">
        <f t="shared" si="2"/>
        <v>157913.82178900001</v>
      </c>
    </row>
    <row r="14" spans="1:12" s="22" customFormat="1" x14ac:dyDescent="0.25">
      <c r="A14" s="22" t="s">
        <v>67</v>
      </c>
      <c r="B14" s="22" t="s">
        <v>68</v>
      </c>
      <c r="C14" s="23">
        <v>123985645</v>
      </c>
      <c r="D14" s="24">
        <v>0.5</v>
      </c>
      <c r="E14" s="69">
        <f t="shared" si="3"/>
        <v>61992.822500000002</v>
      </c>
      <c r="F14" s="23">
        <f t="shared" si="0"/>
        <v>61992.822500000002</v>
      </c>
      <c r="G14" s="24">
        <v>0</v>
      </c>
      <c r="H14" s="23">
        <v>0</v>
      </c>
      <c r="I14" s="24">
        <v>0</v>
      </c>
      <c r="J14" s="23">
        <v>0</v>
      </c>
      <c r="K14" s="24">
        <f t="shared" si="1"/>
        <v>0.5</v>
      </c>
      <c r="L14" s="23">
        <f t="shared" si="2"/>
        <v>61992.822500000002</v>
      </c>
    </row>
    <row r="15" spans="1:12" s="22" customFormat="1" x14ac:dyDescent="0.25">
      <c r="A15" s="22" t="s">
        <v>71</v>
      </c>
      <c r="B15" s="22" t="s">
        <v>38</v>
      </c>
      <c r="C15" s="23">
        <v>380814509</v>
      </c>
      <c r="D15" s="24">
        <v>3</v>
      </c>
      <c r="E15" s="69">
        <f t="shared" si="3"/>
        <v>1142443.527</v>
      </c>
      <c r="F15" s="23">
        <f t="shared" si="0"/>
        <v>1142443.527</v>
      </c>
      <c r="G15" s="24">
        <v>0</v>
      </c>
      <c r="H15" s="23">
        <v>0</v>
      </c>
      <c r="I15" s="24">
        <v>0</v>
      </c>
      <c r="J15" s="23">
        <v>0</v>
      </c>
      <c r="K15" s="24">
        <f t="shared" si="1"/>
        <v>3</v>
      </c>
      <c r="L15" s="23">
        <f t="shared" si="2"/>
        <v>1142443.527</v>
      </c>
    </row>
    <row r="16" spans="1:12" s="22" customFormat="1" x14ac:dyDescent="0.25">
      <c r="A16" s="22" t="s">
        <v>71</v>
      </c>
      <c r="B16" s="22" t="s">
        <v>4</v>
      </c>
      <c r="C16" s="23">
        <v>5747908</v>
      </c>
      <c r="D16" s="24">
        <v>3</v>
      </c>
      <c r="E16" s="69">
        <f t="shared" si="3"/>
        <v>17243.724000000002</v>
      </c>
      <c r="F16" s="23">
        <f t="shared" si="0"/>
        <v>17243.724000000002</v>
      </c>
      <c r="G16" s="24">
        <v>0</v>
      </c>
      <c r="H16" s="23">
        <v>0</v>
      </c>
      <c r="I16" s="24">
        <v>0</v>
      </c>
      <c r="J16" s="23">
        <v>0</v>
      </c>
      <c r="K16" s="24">
        <f t="shared" si="1"/>
        <v>3</v>
      </c>
      <c r="L16" s="23">
        <f t="shared" si="2"/>
        <v>17243.724000000002</v>
      </c>
    </row>
    <row r="17" spans="1:12" s="22" customFormat="1" x14ac:dyDescent="0.25">
      <c r="A17" s="22" t="s">
        <v>72</v>
      </c>
      <c r="B17" s="22" t="s">
        <v>73</v>
      </c>
      <c r="C17" s="23">
        <v>113594096</v>
      </c>
      <c r="D17" s="24">
        <v>1</v>
      </c>
      <c r="E17" s="69">
        <f t="shared" si="3"/>
        <v>113594.09600000001</v>
      </c>
      <c r="F17" s="23">
        <f t="shared" si="0"/>
        <v>113594.09600000001</v>
      </c>
      <c r="G17" s="24">
        <v>0</v>
      </c>
      <c r="H17" s="23">
        <v>0</v>
      </c>
      <c r="I17" s="24">
        <v>0</v>
      </c>
      <c r="J17" s="23">
        <v>0</v>
      </c>
      <c r="K17" s="24">
        <f t="shared" si="1"/>
        <v>1</v>
      </c>
      <c r="L17" s="23">
        <f t="shared" si="2"/>
        <v>113594.09600000001</v>
      </c>
    </row>
    <row r="18" spans="1:12" s="22" customFormat="1" x14ac:dyDescent="0.25">
      <c r="A18" s="22" t="s">
        <v>1</v>
      </c>
      <c r="B18" s="22" t="s">
        <v>2</v>
      </c>
      <c r="C18" s="23">
        <v>65390800</v>
      </c>
      <c r="D18" s="24">
        <v>4.1559999999999997</v>
      </c>
      <c r="E18" s="69">
        <f t="shared" si="3"/>
        <v>271764.16479999997</v>
      </c>
      <c r="F18" s="23">
        <f t="shared" si="0"/>
        <v>271764.16479999997</v>
      </c>
      <c r="G18" s="24">
        <v>0</v>
      </c>
      <c r="H18" s="23">
        <v>0</v>
      </c>
      <c r="I18" s="24">
        <v>1.6E-2</v>
      </c>
      <c r="J18" s="23">
        <v>1046</v>
      </c>
      <c r="K18" s="24">
        <f t="shared" si="1"/>
        <v>4.1719999999999997</v>
      </c>
      <c r="L18" s="23">
        <f t="shared" si="2"/>
        <v>272810.16479999997</v>
      </c>
    </row>
    <row r="19" spans="1:12" s="22" customFormat="1" x14ac:dyDescent="0.25">
      <c r="A19" s="22" t="s">
        <v>120</v>
      </c>
      <c r="B19" s="22" t="s">
        <v>75</v>
      </c>
      <c r="C19" s="23">
        <v>8139902550</v>
      </c>
      <c r="D19" s="24">
        <v>4</v>
      </c>
      <c r="E19" s="69">
        <f t="shared" si="3"/>
        <v>32559610.199999999</v>
      </c>
      <c r="F19" s="23">
        <f t="shared" si="0"/>
        <v>32559610.199999999</v>
      </c>
      <c r="G19" s="24">
        <v>0</v>
      </c>
      <c r="H19" s="23">
        <v>0</v>
      </c>
      <c r="I19" s="24">
        <v>2.1000000000000001E-2</v>
      </c>
      <c r="J19" s="23">
        <v>170938</v>
      </c>
      <c r="K19" s="24">
        <f t="shared" si="1"/>
        <v>4.0209999999999999</v>
      </c>
      <c r="L19" s="23">
        <f t="shared" si="2"/>
        <v>32730548.199999999</v>
      </c>
    </row>
    <row r="20" spans="1:12" s="22" customFormat="1" x14ac:dyDescent="0.25">
      <c r="A20" s="22" t="s">
        <v>78</v>
      </c>
      <c r="B20" s="22" t="s">
        <v>77</v>
      </c>
      <c r="C20" s="23">
        <v>2072626800</v>
      </c>
      <c r="D20" s="24">
        <v>2.7629999999999999</v>
      </c>
      <c r="E20" s="69">
        <f t="shared" si="3"/>
        <v>5726667.8483999996</v>
      </c>
      <c r="F20" s="23">
        <f t="shared" si="0"/>
        <v>5726667.8483999996</v>
      </c>
      <c r="G20" s="24">
        <v>0</v>
      </c>
      <c r="H20" s="23">
        <v>0</v>
      </c>
      <c r="I20" s="24">
        <v>0</v>
      </c>
      <c r="J20" s="23">
        <v>0</v>
      </c>
      <c r="K20" s="24">
        <f t="shared" si="1"/>
        <v>2.7629999999999999</v>
      </c>
      <c r="L20" s="23">
        <f t="shared" si="2"/>
        <v>5726667.8483999996</v>
      </c>
    </row>
    <row r="21" spans="1:12" s="22" customFormat="1" x14ac:dyDescent="0.25">
      <c r="A21" s="22" t="s">
        <v>63</v>
      </c>
      <c r="B21" s="22" t="s">
        <v>64</v>
      </c>
      <c r="C21" s="23">
        <v>78005822</v>
      </c>
      <c r="D21" s="24">
        <v>1</v>
      </c>
      <c r="E21" s="69">
        <f t="shared" si="3"/>
        <v>78005.822</v>
      </c>
      <c r="F21" s="23">
        <f t="shared" si="0"/>
        <v>78005.822</v>
      </c>
      <c r="G21" s="24">
        <v>0</v>
      </c>
      <c r="H21" s="23">
        <v>0</v>
      </c>
      <c r="I21" s="24">
        <v>0</v>
      </c>
      <c r="J21" s="23">
        <v>0</v>
      </c>
      <c r="K21" s="24">
        <f t="shared" si="1"/>
        <v>1</v>
      </c>
      <c r="L21" s="23">
        <f t="shared" si="2"/>
        <v>78005.822</v>
      </c>
    </row>
    <row r="22" spans="1:12" s="22" customFormat="1" x14ac:dyDescent="0.25">
      <c r="A22" s="22" t="s">
        <v>6</v>
      </c>
      <c r="B22" s="22" t="s">
        <v>7</v>
      </c>
      <c r="C22" s="23">
        <v>265483790</v>
      </c>
      <c r="D22" s="24">
        <v>3.5</v>
      </c>
      <c r="E22" s="69">
        <f t="shared" si="3"/>
        <v>929193.26500000001</v>
      </c>
      <c r="F22" s="23">
        <f t="shared" si="0"/>
        <v>929193.26500000001</v>
      </c>
      <c r="G22" s="24">
        <v>0</v>
      </c>
      <c r="H22" s="23">
        <v>0</v>
      </c>
      <c r="I22" s="24">
        <v>0</v>
      </c>
      <c r="J22" s="23">
        <v>0</v>
      </c>
      <c r="K22" s="24">
        <f t="shared" si="1"/>
        <v>3.5</v>
      </c>
      <c r="L22" s="23">
        <f t="shared" si="2"/>
        <v>929193.26500000001</v>
      </c>
    </row>
    <row r="23" spans="1:12" s="22" customFormat="1" x14ac:dyDescent="0.25">
      <c r="A23" s="22" t="s">
        <v>21</v>
      </c>
      <c r="B23" s="22" t="s">
        <v>22</v>
      </c>
      <c r="C23" s="23">
        <v>1130897560</v>
      </c>
      <c r="D23" s="24">
        <f>3.298-0.938</f>
        <v>2.3600000000000003</v>
      </c>
      <c r="E23" s="69">
        <f t="shared" si="3"/>
        <v>2668918.2416000003</v>
      </c>
      <c r="F23" s="23">
        <f t="shared" si="0"/>
        <v>2668918.2416000003</v>
      </c>
      <c r="G23" s="24">
        <v>0.78300000000000003</v>
      </c>
      <c r="H23" s="23">
        <v>885493</v>
      </c>
      <c r="I23" s="24">
        <v>1.7999999999999999E-2</v>
      </c>
      <c r="J23" s="23">
        <v>20356</v>
      </c>
      <c r="K23" s="24">
        <f t="shared" si="1"/>
        <v>3.161</v>
      </c>
      <c r="L23" s="23">
        <f t="shared" si="2"/>
        <v>3574767.2416000003</v>
      </c>
    </row>
    <row r="24" spans="1:12" s="22" customFormat="1" x14ac:dyDescent="0.25">
      <c r="A24" s="22" t="s">
        <v>79</v>
      </c>
      <c r="B24" s="22" t="s">
        <v>80</v>
      </c>
      <c r="C24" s="23">
        <v>494800870</v>
      </c>
      <c r="D24" s="24">
        <v>2.516</v>
      </c>
      <c r="E24" s="69">
        <f t="shared" si="3"/>
        <v>1244918.9889199999</v>
      </c>
      <c r="F24" s="23">
        <f t="shared" si="0"/>
        <v>1244918.9889199999</v>
      </c>
      <c r="G24" s="24">
        <v>0</v>
      </c>
      <c r="H24" s="23">
        <v>0</v>
      </c>
      <c r="I24" s="24">
        <v>0</v>
      </c>
      <c r="J24" s="23">
        <v>0</v>
      </c>
      <c r="K24" s="24">
        <f t="shared" si="1"/>
        <v>2.516</v>
      </c>
      <c r="L24" s="23">
        <f t="shared" si="2"/>
        <v>1244918.9889199999</v>
      </c>
    </row>
    <row r="25" spans="1:12" s="22" customFormat="1" x14ac:dyDescent="0.25">
      <c r="A25" s="22" t="s">
        <v>108</v>
      </c>
      <c r="B25" s="22" t="s">
        <v>107</v>
      </c>
      <c r="C25" s="23">
        <v>442741067</v>
      </c>
      <c r="D25" s="24">
        <v>4.5199999999999996</v>
      </c>
      <c r="E25" s="69">
        <f t="shared" si="3"/>
        <v>2001189.6228399999</v>
      </c>
      <c r="F25" s="23">
        <f t="shared" si="0"/>
        <v>2001189.6228399999</v>
      </c>
      <c r="G25" s="24">
        <v>0</v>
      </c>
      <c r="H25" s="23">
        <v>0</v>
      </c>
      <c r="I25" s="24">
        <v>2.4E-2</v>
      </c>
      <c r="J25" s="23">
        <v>10626</v>
      </c>
      <c r="K25" s="24">
        <f t="shared" si="1"/>
        <v>4.5439999999999996</v>
      </c>
      <c r="L25" s="23">
        <f t="shared" si="2"/>
        <v>2011815.6228399999</v>
      </c>
    </row>
    <row r="26" spans="1:12" s="22" customFormat="1" x14ac:dyDescent="0.25">
      <c r="A26" s="22" t="s">
        <v>86</v>
      </c>
      <c r="B26" s="22" t="s">
        <v>87</v>
      </c>
      <c r="C26" s="25">
        <v>2145427690</v>
      </c>
      <c r="D26" s="24">
        <v>1.5</v>
      </c>
      <c r="E26" s="69">
        <f t="shared" si="3"/>
        <v>3218141.5350000001</v>
      </c>
      <c r="F26" s="23">
        <f t="shared" si="0"/>
        <v>3218141.5350000001</v>
      </c>
      <c r="G26" s="24">
        <v>0</v>
      </c>
      <c r="H26" s="23">
        <v>0</v>
      </c>
      <c r="I26" s="24">
        <f>1+0.003</f>
        <v>1.0029999999999999</v>
      </c>
      <c r="J26" s="23">
        <f>2145428+6436</f>
        <v>2151864</v>
      </c>
      <c r="K26" s="24">
        <f t="shared" si="1"/>
        <v>2.5030000000000001</v>
      </c>
      <c r="L26" s="23">
        <f t="shared" si="2"/>
        <v>5370005.5350000001</v>
      </c>
    </row>
    <row r="27" spans="1:12" s="22" customFormat="1" x14ac:dyDescent="0.25">
      <c r="A27" s="22" t="s">
        <v>88</v>
      </c>
      <c r="B27" s="22" t="s">
        <v>89</v>
      </c>
      <c r="C27" s="23">
        <v>449861207</v>
      </c>
      <c r="D27" s="24"/>
      <c r="E27" s="69">
        <f t="shared" si="3"/>
        <v>0</v>
      </c>
      <c r="F27" s="23">
        <f t="shared" si="0"/>
        <v>0</v>
      </c>
      <c r="G27" s="24">
        <v>0</v>
      </c>
      <c r="H27" s="23">
        <v>0</v>
      </c>
      <c r="I27" s="24">
        <v>0.95</v>
      </c>
      <c r="J27" s="23">
        <v>427368</v>
      </c>
      <c r="K27" s="24">
        <f t="shared" si="1"/>
        <v>0.95</v>
      </c>
      <c r="L27" s="23">
        <f t="shared" si="2"/>
        <v>427368</v>
      </c>
    </row>
    <row r="28" spans="1:12" s="22" customFormat="1" x14ac:dyDescent="0.25">
      <c r="A28" s="22" t="s">
        <v>90</v>
      </c>
      <c r="B28" s="22" t="s">
        <v>91</v>
      </c>
      <c r="C28" s="23">
        <v>943031730</v>
      </c>
      <c r="D28" s="24">
        <v>3.36</v>
      </c>
      <c r="E28" s="69">
        <f t="shared" si="3"/>
        <v>3168586.6127999998</v>
      </c>
      <c r="F28" s="23">
        <f t="shared" si="0"/>
        <v>3168586.6127999998</v>
      </c>
      <c r="G28" s="24">
        <v>0</v>
      </c>
      <c r="H28" s="23">
        <v>0</v>
      </c>
      <c r="I28" s="24">
        <v>0.01</v>
      </c>
      <c r="J28" s="23">
        <v>9430</v>
      </c>
      <c r="K28" s="24">
        <f t="shared" si="1"/>
        <v>3.3699999999999997</v>
      </c>
      <c r="L28" s="23">
        <f t="shared" si="2"/>
        <v>3178016.6127999998</v>
      </c>
    </row>
    <row r="29" spans="1:12" s="22" customFormat="1" x14ac:dyDescent="0.25">
      <c r="A29" s="22" t="s">
        <v>92</v>
      </c>
      <c r="B29" s="22" t="s">
        <v>93</v>
      </c>
      <c r="C29" s="23">
        <v>824947210</v>
      </c>
      <c r="D29" s="24">
        <v>1.9</v>
      </c>
      <c r="E29" s="69">
        <f t="shared" si="3"/>
        <v>1567399.699</v>
      </c>
      <c r="F29" s="23">
        <f t="shared" si="0"/>
        <v>1567399.699</v>
      </c>
      <c r="G29" s="24">
        <v>0</v>
      </c>
      <c r="H29" s="23">
        <v>0</v>
      </c>
      <c r="I29" s="24">
        <v>0</v>
      </c>
      <c r="J29" s="23">
        <v>0</v>
      </c>
      <c r="K29" s="24">
        <f t="shared" si="1"/>
        <v>1.9</v>
      </c>
      <c r="L29" s="23">
        <f t="shared" si="2"/>
        <v>1567399.699</v>
      </c>
    </row>
    <row r="30" spans="1:12" s="22" customFormat="1" x14ac:dyDescent="0.25">
      <c r="A30" s="22" t="s">
        <v>56</v>
      </c>
      <c r="B30" s="22" t="s">
        <v>57</v>
      </c>
      <c r="C30" s="23">
        <v>206766937</v>
      </c>
      <c r="D30" s="24">
        <v>3.177</v>
      </c>
      <c r="E30" s="69">
        <f t="shared" si="3"/>
        <v>656898.55884900002</v>
      </c>
      <c r="F30" s="23">
        <f t="shared" si="0"/>
        <v>656898.55884900002</v>
      </c>
      <c r="G30" s="24">
        <v>0</v>
      </c>
      <c r="H30" s="23">
        <v>0</v>
      </c>
      <c r="I30" s="24">
        <v>0.02</v>
      </c>
      <c r="J30" s="23">
        <v>4135</v>
      </c>
      <c r="K30" s="24">
        <f t="shared" si="1"/>
        <v>3.1970000000000001</v>
      </c>
      <c r="L30" s="23">
        <f t="shared" si="2"/>
        <v>661033.55884900002</v>
      </c>
    </row>
    <row r="31" spans="1:12" s="22" customFormat="1" x14ac:dyDescent="0.25">
      <c r="A31" s="22" t="s">
        <v>56</v>
      </c>
      <c r="B31" s="22" t="s">
        <v>31</v>
      </c>
      <c r="C31" s="23">
        <v>10793345450</v>
      </c>
      <c r="D31" s="24">
        <v>3.177</v>
      </c>
      <c r="E31" s="69">
        <f t="shared" si="3"/>
        <v>34290458.494649999</v>
      </c>
      <c r="F31" s="23">
        <f t="shared" si="0"/>
        <v>34290458.494649999</v>
      </c>
      <c r="G31" s="24">
        <v>0</v>
      </c>
      <c r="H31" s="23">
        <v>0</v>
      </c>
      <c r="I31" s="24">
        <v>0.02</v>
      </c>
      <c r="J31" s="23">
        <v>215867</v>
      </c>
      <c r="K31" s="24">
        <f t="shared" si="1"/>
        <v>3.1970000000000001</v>
      </c>
      <c r="L31" s="23">
        <f t="shared" si="2"/>
        <v>34506325.494649999</v>
      </c>
    </row>
    <row r="32" spans="1:12" s="22" customFormat="1" x14ac:dyDescent="0.25">
      <c r="A32" s="22" t="s">
        <v>125</v>
      </c>
      <c r="B32" s="22" t="s">
        <v>94</v>
      </c>
      <c r="C32" s="23">
        <v>50987979</v>
      </c>
      <c r="D32" s="24">
        <v>1.75</v>
      </c>
      <c r="E32" s="69">
        <f t="shared" si="3"/>
        <v>89228.963250000001</v>
      </c>
      <c r="F32" s="23">
        <f t="shared" si="0"/>
        <v>89228.963250000001</v>
      </c>
      <c r="G32" s="24">
        <v>0</v>
      </c>
      <c r="H32" s="23">
        <v>0</v>
      </c>
      <c r="I32" s="24">
        <v>0</v>
      </c>
      <c r="J32" s="23">
        <v>0</v>
      </c>
      <c r="K32" s="24">
        <f t="shared" si="1"/>
        <v>1.75</v>
      </c>
      <c r="L32" s="23">
        <f t="shared" si="2"/>
        <v>89228.963250000001</v>
      </c>
    </row>
    <row r="33" spans="1:12" s="22" customFormat="1" x14ac:dyDescent="0.25">
      <c r="A33" s="22" t="s">
        <v>103</v>
      </c>
      <c r="B33" s="22" t="s">
        <v>104</v>
      </c>
      <c r="C33" s="23">
        <v>159894880</v>
      </c>
      <c r="D33" s="24">
        <v>1.5</v>
      </c>
      <c r="E33" s="69">
        <f t="shared" si="3"/>
        <v>239842.32</v>
      </c>
      <c r="F33" s="23">
        <f t="shared" si="0"/>
        <v>239842.32</v>
      </c>
      <c r="G33" s="24">
        <v>0</v>
      </c>
      <c r="H33" s="23">
        <v>0</v>
      </c>
      <c r="I33" s="24">
        <v>0</v>
      </c>
      <c r="J33" s="23">
        <v>0</v>
      </c>
      <c r="K33" s="24">
        <f t="shared" si="1"/>
        <v>1.5</v>
      </c>
      <c r="L33" s="23">
        <f t="shared" si="2"/>
        <v>239842.32</v>
      </c>
    </row>
    <row r="34" spans="1:12" s="22" customFormat="1" x14ac:dyDescent="0.25">
      <c r="A34" s="22" t="s">
        <v>112</v>
      </c>
      <c r="B34" s="22" t="s">
        <v>98</v>
      </c>
      <c r="C34" s="23">
        <v>81981534</v>
      </c>
      <c r="D34" s="24">
        <v>1.4119999999999999</v>
      </c>
      <c r="E34" s="69">
        <f t="shared" si="3"/>
        <v>115757.92600799998</v>
      </c>
      <c r="F34" s="23">
        <f t="shared" si="0"/>
        <v>115757.92600799998</v>
      </c>
      <c r="G34" s="24">
        <v>0</v>
      </c>
      <c r="H34" s="23">
        <v>0</v>
      </c>
      <c r="I34" s="24">
        <v>0</v>
      </c>
      <c r="J34" s="23">
        <v>0</v>
      </c>
      <c r="K34" s="24">
        <f t="shared" si="1"/>
        <v>1.4119999999999999</v>
      </c>
      <c r="L34" s="23">
        <f t="shared" si="2"/>
        <v>115757.92600799998</v>
      </c>
    </row>
    <row r="35" spans="1:12" s="22" customFormat="1" x14ac:dyDescent="0.25">
      <c r="A35" s="22" t="s">
        <v>99</v>
      </c>
      <c r="B35" s="22" t="s">
        <v>100</v>
      </c>
      <c r="C35" s="23">
        <v>11989603098</v>
      </c>
      <c r="D35" s="24">
        <v>0</v>
      </c>
      <c r="E35" s="69">
        <f t="shared" si="3"/>
        <v>0</v>
      </c>
      <c r="F35" s="23">
        <f t="shared" si="0"/>
        <v>0</v>
      </c>
      <c r="G35" s="24">
        <v>0</v>
      </c>
      <c r="H35" s="23">
        <v>0</v>
      </c>
      <c r="I35" s="24">
        <v>4.5</v>
      </c>
      <c r="J35" s="23">
        <v>53953214</v>
      </c>
      <c r="K35" s="24">
        <f t="shared" si="1"/>
        <v>4.5</v>
      </c>
      <c r="L35" s="23">
        <f t="shared" si="2"/>
        <v>53953214</v>
      </c>
    </row>
    <row r="36" spans="1:12" s="22" customFormat="1" x14ac:dyDescent="0.25">
      <c r="A36" s="22" t="s">
        <v>83</v>
      </c>
      <c r="B36" s="22" t="s">
        <v>84</v>
      </c>
      <c r="C36" s="23">
        <v>112442285</v>
      </c>
      <c r="D36" s="24">
        <v>2</v>
      </c>
      <c r="E36" s="69">
        <f t="shared" si="3"/>
        <v>224884.57</v>
      </c>
      <c r="F36" s="23">
        <f t="shared" si="0"/>
        <v>224884.57</v>
      </c>
      <c r="G36" s="24">
        <v>0</v>
      </c>
      <c r="H36" s="23">
        <v>0</v>
      </c>
      <c r="I36" s="24">
        <v>0</v>
      </c>
      <c r="J36" s="23">
        <v>0</v>
      </c>
      <c r="K36" s="24">
        <f t="shared" si="1"/>
        <v>2</v>
      </c>
      <c r="L36" s="23">
        <f t="shared" si="2"/>
        <v>224884.57</v>
      </c>
    </row>
    <row r="37" spans="1:12" s="22" customFormat="1" x14ac:dyDescent="0.25">
      <c r="A37" s="22" t="s">
        <v>101</v>
      </c>
      <c r="B37" s="22" t="s">
        <v>102</v>
      </c>
      <c r="C37" s="23">
        <v>38050320</v>
      </c>
      <c r="D37" s="24">
        <v>1.5</v>
      </c>
      <c r="E37" s="69">
        <f t="shared" si="3"/>
        <v>57075.48</v>
      </c>
      <c r="F37" s="23">
        <f t="shared" si="0"/>
        <v>57075.48</v>
      </c>
      <c r="G37" s="24">
        <v>0</v>
      </c>
      <c r="H37" s="23">
        <v>0</v>
      </c>
      <c r="I37" s="24">
        <v>0</v>
      </c>
      <c r="J37" s="23">
        <v>0</v>
      </c>
      <c r="K37" s="24">
        <f t="shared" si="1"/>
        <v>1.5</v>
      </c>
      <c r="L37" s="23">
        <f t="shared" si="2"/>
        <v>57075.48</v>
      </c>
    </row>
    <row r="38" spans="1:12" s="22" customFormat="1" x14ac:dyDescent="0.25">
      <c r="A38" s="22" t="s">
        <v>95</v>
      </c>
      <c r="B38" s="22" t="s">
        <v>96</v>
      </c>
      <c r="C38" s="23">
        <v>34133793</v>
      </c>
      <c r="D38" s="24">
        <v>5.91</v>
      </c>
      <c r="E38" s="69">
        <f t="shared" si="3"/>
        <v>201730.71663000001</v>
      </c>
      <c r="F38" s="23">
        <f t="shared" si="0"/>
        <v>201730.71663000001</v>
      </c>
      <c r="G38" s="24">
        <v>0</v>
      </c>
      <c r="H38" s="23">
        <v>0</v>
      </c>
      <c r="I38" s="24">
        <v>5.0000000000000001E-3</v>
      </c>
      <c r="J38" s="23">
        <v>162</v>
      </c>
      <c r="K38" s="24">
        <f t="shared" si="1"/>
        <v>5.915</v>
      </c>
      <c r="L38" s="23">
        <f t="shared" si="2"/>
        <v>201892.71663000001</v>
      </c>
    </row>
    <row r="39" spans="1:12" s="22" customFormat="1" x14ac:dyDescent="0.25">
      <c r="A39" s="22" t="s">
        <v>54</v>
      </c>
      <c r="B39" s="22" t="s">
        <v>55</v>
      </c>
      <c r="C39" s="23">
        <v>72038330</v>
      </c>
      <c r="D39" s="24">
        <v>1.5</v>
      </c>
      <c r="E39" s="69">
        <f t="shared" si="3"/>
        <v>108057.495</v>
      </c>
      <c r="F39" s="23">
        <f t="shared" si="0"/>
        <v>108057.495</v>
      </c>
      <c r="G39" s="24">
        <v>0</v>
      </c>
      <c r="H39" s="23">
        <v>0</v>
      </c>
      <c r="I39" s="24">
        <v>0</v>
      </c>
      <c r="J39" s="23">
        <v>0</v>
      </c>
      <c r="K39" s="24">
        <f t="shared" si="1"/>
        <v>1.5</v>
      </c>
      <c r="L39" s="23">
        <f t="shared" si="2"/>
        <v>108057.495</v>
      </c>
    </row>
    <row r="40" spans="1:12" s="22" customFormat="1" x14ac:dyDescent="0.25">
      <c r="A40" s="22" t="s">
        <v>131</v>
      </c>
      <c r="B40" s="22" t="s">
        <v>132</v>
      </c>
      <c r="C40" s="23">
        <v>177998003</v>
      </c>
      <c r="D40" s="24">
        <v>0.25</v>
      </c>
      <c r="E40" s="69">
        <f t="shared" si="3"/>
        <v>44499.500749999999</v>
      </c>
      <c r="F40" s="23">
        <f t="shared" si="0"/>
        <v>44499.500749999999</v>
      </c>
      <c r="G40" s="24">
        <v>0</v>
      </c>
      <c r="H40" s="23">
        <v>0</v>
      </c>
      <c r="I40" s="24">
        <v>0</v>
      </c>
      <c r="J40" s="23">
        <v>0</v>
      </c>
      <c r="K40" s="24">
        <f t="shared" si="1"/>
        <v>0.25</v>
      </c>
      <c r="L40" s="23">
        <f t="shared" si="2"/>
        <v>44499.500749999999</v>
      </c>
    </row>
    <row r="41" spans="1:12" s="22" customFormat="1" ht="16.149999999999999" customHeight="1" x14ac:dyDescent="0.25">
      <c r="A41" s="22" t="s">
        <v>118</v>
      </c>
      <c r="B41" s="22" t="s">
        <v>57</v>
      </c>
      <c r="C41" s="25">
        <v>82096288</v>
      </c>
      <c r="D41" s="24">
        <v>5.85</v>
      </c>
      <c r="E41" s="69">
        <f t="shared" si="3"/>
        <v>480263.28479999996</v>
      </c>
      <c r="F41" s="23">
        <f>((D41/1000)*C41)</f>
        <v>480263.28479999996</v>
      </c>
      <c r="G41" s="24">
        <v>0</v>
      </c>
      <c r="H41" s="23">
        <v>0</v>
      </c>
      <c r="I41" s="24">
        <v>4.0000000000000001E-3</v>
      </c>
      <c r="J41" s="23">
        <v>328</v>
      </c>
      <c r="K41" s="24">
        <f t="shared" si="1"/>
        <v>5.8539999999999992</v>
      </c>
      <c r="L41" s="23">
        <f t="shared" si="2"/>
        <v>480591.28479999996</v>
      </c>
    </row>
    <row r="42" spans="1:12" s="22" customFormat="1" x14ac:dyDescent="0.25">
      <c r="A42" s="22" t="s">
        <v>118</v>
      </c>
      <c r="B42" s="22" t="s">
        <v>119</v>
      </c>
      <c r="C42" s="23">
        <v>15956398</v>
      </c>
      <c r="D42" s="24">
        <v>5.85</v>
      </c>
      <c r="E42" s="69">
        <f t="shared" si="3"/>
        <v>93344.928299999985</v>
      </c>
      <c r="F42" s="23">
        <f>((D42/1000)*C42)</f>
        <v>93344.928299999985</v>
      </c>
      <c r="G42" s="24">
        <v>0</v>
      </c>
      <c r="H42" s="23">
        <v>0</v>
      </c>
      <c r="I42" s="24">
        <v>4.0000000000000001E-3</v>
      </c>
      <c r="J42" s="23">
        <v>64</v>
      </c>
      <c r="K42" s="24">
        <f t="shared" si="1"/>
        <v>5.8539999999999992</v>
      </c>
      <c r="L42" s="23">
        <f t="shared" si="2"/>
        <v>93408.928299999985</v>
      </c>
    </row>
    <row r="43" spans="1:12" s="22" customFormat="1" x14ac:dyDescent="0.25">
      <c r="A43" s="22" t="s">
        <v>3</v>
      </c>
      <c r="B43" s="22" t="s">
        <v>2</v>
      </c>
      <c r="C43" s="23">
        <v>52746140</v>
      </c>
      <c r="D43" s="24">
        <v>8</v>
      </c>
      <c r="E43" s="69">
        <f t="shared" si="3"/>
        <v>421969.12</v>
      </c>
      <c r="F43" s="23">
        <f>((D43/1000)*C43)</f>
        <v>421969.12</v>
      </c>
      <c r="G43" s="24">
        <v>0</v>
      </c>
      <c r="H43" s="23">
        <v>0</v>
      </c>
      <c r="I43" s="24">
        <v>0.10199999999999999</v>
      </c>
      <c r="J43" s="23">
        <v>5380</v>
      </c>
      <c r="K43" s="24">
        <f t="shared" si="1"/>
        <v>8.1020000000000003</v>
      </c>
      <c r="L43" s="23">
        <f t="shared" si="2"/>
        <v>427349.12</v>
      </c>
    </row>
    <row r="44" spans="1:12" s="22" customFormat="1" x14ac:dyDescent="0.25">
      <c r="A44" s="22" t="s">
        <v>16</v>
      </c>
      <c r="B44" s="22" t="s">
        <v>17</v>
      </c>
      <c r="C44" s="23">
        <v>527235430</v>
      </c>
      <c r="D44" s="24">
        <f>2.032-1.016</f>
        <v>1.016</v>
      </c>
      <c r="E44" s="69">
        <f t="shared" si="3"/>
        <v>535671.19687999994</v>
      </c>
      <c r="F44" s="23">
        <f t="shared" ref="F44:F75" si="4">((D44/1000)*C44)</f>
        <v>535671.19687999994</v>
      </c>
      <c r="G44" s="24">
        <v>0</v>
      </c>
      <c r="H44" s="23">
        <v>0</v>
      </c>
      <c r="I44" s="24">
        <v>0</v>
      </c>
      <c r="J44" s="23">
        <v>0</v>
      </c>
      <c r="K44" s="24">
        <f t="shared" si="1"/>
        <v>1.016</v>
      </c>
      <c r="L44" s="23">
        <f t="shared" si="2"/>
        <v>535671.19687999994</v>
      </c>
    </row>
    <row r="45" spans="1:12" s="22" customFormat="1" x14ac:dyDescent="0.25">
      <c r="A45" s="22" t="s">
        <v>110</v>
      </c>
      <c r="B45" s="22" t="s">
        <v>0</v>
      </c>
      <c r="C45" s="23">
        <v>2311138510</v>
      </c>
      <c r="D45" s="24">
        <v>3</v>
      </c>
      <c r="E45" s="69">
        <f t="shared" si="3"/>
        <v>6933415.5300000003</v>
      </c>
      <c r="F45" s="23">
        <f t="shared" si="4"/>
        <v>6933415.5300000003</v>
      </c>
      <c r="G45" s="24">
        <v>0</v>
      </c>
      <c r="H45" s="23">
        <v>0</v>
      </c>
      <c r="I45" s="24">
        <v>4.2999999999999997E-2</v>
      </c>
      <c r="J45" s="23">
        <v>99379</v>
      </c>
      <c r="K45" s="24">
        <f t="shared" si="1"/>
        <v>3.0430000000000001</v>
      </c>
      <c r="L45" s="23">
        <f t="shared" si="2"/>
        <v>7032794.5300000003</v>
      </c>
    </row>
    <row r="46" spans="1:12" s="22" customFormat="1" x14ac:dyDescent="0.25">
      <c r="A46" s="22" t="s">
        <v>5</v>
      </c>
      <c r="B46" s="22" t="s">
        <v>4</v>
      </c>
      <c r="C46" s="23">
        <v>666949147</v>
      </c>
      <c r="D46" s="24">
        <v>3.85</v>
      </c>
      <c r="E46" s="69">
        <f t="shared" si="3"/>
        <v>2567754.2159500001</v>
      </c>
      <c r="F46" s="23">
        <f t="shared" si="4"/>
        <v>2567754.2159500001</v>
      </c>
      <c r="G46" s="24">
        <v>0</v>
      </c>
      <c r="H46" s="23">
        <v>0</v>
      </c>
      <c r="I46" s="24">
        <v>0</v>
      </c>
      <c r="J46" s="23">
        <v>0</v>
      </c>
      <c r="K46" s="24">
        <f t="shared" si="1"/>
        <v>3.85</v>
      </c>
      <c r="L46" s="23">
        <f t="shared" si="2"/>
        <v>2567754.2159500001</v>
      </c>
    </row>
    <row r="47" spans="1:12" s="22" customFormat="1" x14ac:dyDescent="0.25">
      <c r="A47" s="22" t="s">
        <v>58</v>
      </c>
      <c r="B47" s="22" t="s">
        <v>57</v>
      </c>
      <c r="C47" s="23">
        <v>96484738</v>
      </c>
      <c r="D47" s="24">
        <v>4.4000000000000004</v>
      </c>
      <c r="E47" s="69">
        <f t="shared" si="3"/>
        <v>424532.84720000002</v>
      </c>
      <c r="F47" s="23">
        <f t="shared" si="4"/>
        <v>424532.84720000002</v>
      </c>
      <c r="G47" s="24">
        <v>1.4339999999999999</v>
      </c>
      <c r="H47" s="23">
        <v>138359</v>
      </c>
      <c r="I47" s="24">
        <v>0</v>
      </c>
      <c r="J47" s="23">
        <v>0</v>
      </c>
      <c r="K47" s="24">
        <f t="shared" si="1"/>
        <v>5.8340000000000005</v>
      </c>
      <c r="L47" s="23">
        <f t="shared" si="2"/>
        <v>562891.84719999996</v>
      </c>
    </row>
    <row r="48" spans="1:12" s="22" customFormat="1" x14ac:dyDescent="0.25">
      <c r="A48" s="22" t="s">
        <v>136</v>
      </c>
      <c r="B48" s="22" t="s">
        <v>135</v>
      </c>
      <c r="C48" s="23">
        <v>132892</v>
      </c>
      <c r="D48" s="24">
        <v>0</v>
      </c>
      <c r="E48" s="69">
        <v>0</v>
      </c>
      <c r="F48" s="23">
        <v>0</v>
      </c>
      <c r="G48" s="24">
        <v>1.4339999999999999</v>
      </c>
      <c r="H48" s="23">
        <v>191</v>
      </c>
      <c r="I48" s="24">
        <v>0</v>
      </c>
      <c r="J48" s="23">
        <v>0</v>
      </c>
      <c r="K48" s="24">
        <v>1.4339999999999999</v>
      </c>
      <c r="L48" s="23">
        <v>191</v>
      </c>
    </row>
    <row r="49" spans="1:12" s="22" customFormat="1" x14ac:dyDescent="0.25">
      <c r="A49" s="22" t="s">
        <v>59</v>
      </c>
      <c r="B49" s="22" t="s">
        <v>60</v>
      </c>
      <c r="C49" s="23">
        <v>280654800</v>
      </c>
      <c r="D49" s="24">
        <v>2.5</v>
      </c>
      <c r="E49" s="69">
        <f t="shared" si="3"/>
        <v>701637</v>
      </c>
      <c r="F49" s="23">
        <f t="shared" si="4"/>
        <v>701637</v>
      </c>
      <c r="G49" s="24">
        <v>0</v>
      </c>
      <c r="H49" s="23">
        <v>0</v>
      </c>
      <c r="I49" s="24">
        <v>0</v>
      </c>
      <c r="J49" s="23">
        <v>0</v>
      </c>
      <c r="K49" s="24">
        <f t="shared" ref="K49:K75" si="5">D49+G49+I49</f>
        <v>2.5</v>
      </c>
      <c r="L49" s="23">
        <f t="shared" ref="L49:L75" si="6">E49+H49+J49</f>
        <v>701637</v>
      </c>
    </row>
    <row r="50" spans="1:12" s="22" customFormat="1" x14ac:dyDescent="0.25">
      <c r="A50" s="22" t="s">
        <v>133</v>
      </c>
      <c r="B50" s="22" t="s">
        <v>134</v>
      </c>
      <c r="C50" s="23">
        <v>57239957</v>
      </c>
      <c r="D50" s="24">
        <v>5</v>
      </c>
      <c r="E50" s="69">
        <f t="shared" si="3"/>
        <v>286199.78500000003</v>
      </c>
      <c r="F50" s="23">
        <f t="shared" si="4"/>
        <v>286199.78500000003</v>
      </c>
      <c r="G50" s="24">
        <v>0</v>
      </c>
      <c r="H50" s="23">
        <v>0</v>
      </c>
      <c r="I50" s="24">
        <v>0</v>
      </c>
      <c r="J50" s="23">
        <v>0</v>
      </c>
      <c r="K50" s="24">
        <f t="shared" si="5"/>
        <v>5</v>
      </c>
      <c r="L50" s="23">
        <f t="shared" si="6"/>
        <v>286199.78500000003</v>
      </c>
    </row>
    <row r="51" spans="1:12" s="22" customFormat="1" x14ac:dyDescent="0.25">
      <c r="A51" s="22" t="s">
        <v>122</v>
      </c>
      <c r="B51" s="22" t="s">
        <v>8</v>
      </c>
      <c r="C51" s="23">
        <v>70896580</v>
      </c>
      <c r="D51" s="24">
        <v>1.5</v>
      </c>
      <c r="E51" s="69">
        <f t="shared" si="3"/>
        <v>106344.87</v>
      </c>
      <c r="F51" s="23">
        <f t="shared" si="4"/>
        <v>106344.87</v>
      </c>
      <c r="G51" s="24">
        <v>0</v>
      </c>
      <c r="H51" s="23">
        <v>0</v>
      </c>
      <c r="I51" s="24">
        <v>0</v>
      </c>
      <c r="J51" s="23">
        <v>0</v>
      </c>
      <c r="K51" s="24">
        <f t="shared" si="5"/>
        <v>1.5</v>
      </c>
      <c r="L51" s="23">
        <f t="shared" si="6"/>
        <v>106344.87</v>
      </c>
    </row>
    <row r="52" spans="1:12" s="22" customFormat="1" ht="14.25" customHeight="1" x14ac:dyDescent="0.25">
      <c r="A52" s="22" t="s">
        <v>85</v>
      </c>
      <c r="B52" s="22" t="s">
        <v>84</v>
      </c>
      <c r="C52" s="23">
        <v>41507307</v>
      </c>
      <c r="D52" s="24">
        <v>5.508</v>
      </c>
      <c r="E52" s="69">
        <f t="shared" si="3"/>
        <v>228622.24695599999</v>
      </c>
      <c r="F52" s="23">
        <f t="shared" si="4"/>
        <v>228622.24695599999</v>
      </c>
      <c r="G52" s="24">
        <v>0</v>
      </c>
      <c r="H52" s="23">
        <v>0</v>
      </c>
      <c r="I52" s="24">
        <v>0</v>
      </c>
      <c r="J52" s="23">
        <v>0</v>
      </c>
      <c r="K52" s="24">
        <f t="shared" si="5"/>
        <v>5.508</v>
      </c>
      <c r="L52" s="23">
        <f t="shared" si="6"/>
        <v>228622.24695599999</v>
      </c>
    </row>
    <row r="53" spans="1:12" s="22" customFormat="1" x14ac:dyDescent="0.25">
      <c r="A53" s="22" t="s">
        <v>81</v>
      </c>
      <c r="B53" s="22" t="s">
        <v>82</v>
      </c>
      <c r="C53" s="23">
        <v>9692241300</v>
      </c>
      <c r="D53" s="24">
        <f>3.477-0.004</f>
        <v>3.4729999999999999</v>
      </c>
      <c r="E53" s="69">
        <f t="shared" si="3"/>
        <v>33661154.034900002</v>
      </c>
      <c r="F53" s="23">
        <f t="shared" si="4"/>
        <v>33661154.034900002</v>
      </c>
      <c r="G53" s="24">
        <v>0</v>
      </c>
      <c r="H53" s="23">
        <v>0</v>
      </c>
      <c r="I53" s="24">
        <v>1.7000000000000001E-2</v>
      </c>
      <c r="J53" s="23">
        <v>164768</v>
      </c>
      <c r="K53" s="24">
        <f t="shared" si="5"/>
        <v>3.4899999999999998</v>
      </c>
      <c r="L53" s="23">
        <f t="shared" si="6"/>
        <v>33825922.034900002</v>
      </c>
    </row>
    <row r="54" spans="1:12" s="22" customFormat="1" x14ac:dyDescent="0.25">
      <c r="A54" s="22" t="s">
        <v>105</v>
      </c>
      <c r="B54" s="22" t="s">
        <v>104</v>
      </c>
      <c r="C54" s="23">
        <v>202594480</v>
      </c>
      <c r="D54" s="24">
        <v>4</v>
      </c>
      <c r="E54" s="69">
        <f t="shared" si="3"/>
        <v>810377.92</v>
      </c>
      <c r="F54" s="23">
        <f t="shared" si="4"/>
        <v>810377.92</v>
      </c>
      <c r="G54" s="24">
        <v>0</v>
      </c>
      <c r="H54" s="23">
        <v>0</v>
      </c>
      <c r="I54" s="24">
        <v>0</v>
      </c>
      <c r="J54" s="23">
        <v>0</v>
      </c>
      <c r="K54" s="24">
        <f t="shared" si="5"/>
        <v>4</v>
      </c>
      <c r="L54" s="23">
        <f t="shared" si="6"/>
        <v>810377.92</v>
      </c>
    </row>
    <row r="55" spans="1:12" s="22" customFormat="1" x14ac:dyDescent="0.25">
      <c r="A55" s="22" t="s">
        <v>11</v>
      </c>
      <c r="B55" s="22" t="s">
        <v>10</v>
      </c>
      <c r="C55" s="23">
        <v>3513633030</v>
      </c>
      <c r="D55" s="24">
        <f>1.625-0.25</f>
        <v>1.375</v>
      </c>
      <c r="E55" s="69">
        <f t="shared" si="3"/>
        <v>4831245.4162499998</v>
      </c>
      <c r="F55" s="23">
        <f>((D55/1000)*C55)</f>
        <v>4831245.4162499998</v>
      </c>
      <c r="G55" s="24">
        <v>0</v>
      </c>
      <c r="H55" s="23">
        <v>0</v>
      </c>
      <c r="I55" s="24">
        <v>3.0000000000000001E-3</v>
      </c>
      <c r="J55" s="23">
        <v>10541</v>
      </c>
      <c r="K55" s="24">
        <f t="shared" si="5"/>
        <v>1.3779999999999999</v>
      </c>
      <c r="L55" s="23">
        <f t="shared" si="6"/>
        <v>4841786.4162499998</v>
      </c>
    </row>
    <row r="56" spans="1:12" s="22" customFormat="1" x14ac:dyDescent="0.25">
      <c r="A56" s="22" t="s">
        <v>35</v>
      </c>
      <c r="B56" s="22" t="s">
        <v>107</v>
      </c>
      <c r="C56" s="23">
        <v>4047417586</v>
      </c>
      <c r="D56" s="24">
        <v>3</v>
      </c>
      <c r="E56" s="69">
        <f t="shared" si="3"/>
        <v>12142252.757999999</v>
      </c>
      <c r="F56" s="23">
        <f t="shared" si="4"/>
        <v>12142252.757999999</v>
      </c>
      <c r="G56" s="24">
        <v>0</v>
      </c>
      <c r="H56" s="23">
        <v>0</v>
      </c>
      <c r="I56" s="24">
        <v>1.7000000000000001E-2</v>
      </c>
      <c r="J56" s="23">
        <v>68806</v>
      </c>
      <c r="K56" s="24">
        <f t="shared" si="5"/>
        <v>3.0169999999999999</v>
      </c>
      <c r="L56" s="23">
        <f t="shared" si="6"/>
        <v>12211058.757999999</v>
      </c>
    </row>
    <row r="57" spans="1:12" s="22" customFormat="1" x14ac:dyDescent="0.25">
      <c r="A57" s="22" t="s">
        <v>12</v>
      </c>
      <c r="B57" s="22" t="s">
        <v>13</v>
      </c>
      <c r="C57" s="23">
        <v>147703780</v>
      </c>
      <c r="D57" s="24">
        <v>0</v>
      </c>
      <c r="E57" s="69">
        <f t="shared" si="3"/>
        <v>0</v>
      </c>
      <c r="F57" s="23">
        <f t="shared" si="4"/>
        <v>0</v>
      </c>
      <c r="G57" s="24">
        <v>0</v>
      </c>
      <c r="H57" s="23">
        <v>0</v>
      </c>
      <c r="I57" s="24">
        <v>0</v>
      </c>
      <c r="J57" s="23">
        <v>0</v>
      </c>
      <c r="K57" s="24">
        <f t="shared" si="5"/>
        <v>0</v>
      </c>
      <c r="L57" s="23">
        <f t="shared" si="6"/>
        <v>0</v>
      </c>
    </row>
    <row r="58" spans="1:12" s="22" customFormat="1" x14ac:dyDescent="0.25">
      <c r="A58" s="22" t="s">
        <v>14</v>
      </c>
      <c r="B58" s="22" t="s">
        <v>15</v>
      </c>
      <c r="C58" s="23">
        <v>2162100442</v>
      </c>
      <c r="D58" s="24">
        <v>5.85</v>
      </c>
      <c r="E58" s="69">
        <f t="shared" si="3"/>
        <v>12648287.585699998</v>
      </c>
      <c r="F58" s="23">
        <f t="shared" si="4"/>
        <v>12648287.585699998</v>
      </c>
      <c r="G58" s="24">
        <v>0</v>
      </c>
      <c r="H58" s="23">
        <v>0</v>
      </c>
      <c r="I58" s="24">
        <v>3.9E-2</v>
      </c>
      <c r="J58" s="23">
        <v>84322</v>
      </c>
      <c r="K58" s="24">
        <f t="shared" si="5"/>
        <v>5.8889999999999993</v>
      </c>
      <c r="L58" s="23">
        <f t="shared" si="6"/>
        <v>12732609.585699998</v>
      </c>
    </row>
    <row r="59" spans="1:12" s="22" customFormat="1" x14ac:dyDescent="0.25">
      <c r="A59" s="22" t="s">
        <v>28</v>
      </c>
      <c r="B59" s="22" t="s">
        <v>29</v>
      </c>
      <c r="C59" s="23">
        <v>335438140</v>
      </c>
      <c r="D59" s="24">
        <f>4.119-0.634</f>
        <v>3.4849999999999999</v>
      </c>
      <c r="E59" s="69">
        <f t="shared" si="3"/>
        <v>1169001.9179</v>
      </c>
      <c r="F59" s="23">
        <f>((D59/1000)*C59)</f>
        <v>1169001.9179</v>
      </c>
      <c r="G59" s="24">
        <v>0</v>
      </c>
      <c r="H59" s="23">
        <v>0</v>
      </c>
      <c r="I59" s="24">
        <v>0.747</v>
      </c>
      <c r="J59" s="23">
        <v>250252</v>
      </c>
      <c r="K59" s="24">
        <f t="shared" si="5"/>
        <v>4.2320000000000002</v>
      </c>
      <c r="L59" s="23">
        <f t="shared" si="6"/>
        <v>1419253.9179</v>
      </c>
    </row>
    <row r="60" spans="1:12" s="22" customFormat="1" x14ac:dyDescent="0.25">
      <c r="A60" s="22" t="s">
        <v>18</v>
      </c>
      <c r="B60" s="22" t="s">
        <v>17</v>
      </c>
      <c r="C60" s="23">
        <v>227219160</v>
      </c>
      <c r="D60" s="24">
        <v>0.5</v>
      </c>
      <c r="E60" s="69">
        <f t="shared" si="3"/>
        <v>113609.58</v>
      </c>
      <c r="F60" s="23">
        <f t="shared" si="4"/>
        <v>113609.58</v>
      </c>
      <c r="G60" s="24">
        <v>0</v>
      </c>
      <c r="H60" s="23">
        <v>0</v>
      </c>
      <c r="I60" s="24">
        <v>0</v>
      </c>
      <c r="J60" s="23">
        <v>0</v>
      </c>
      <c r="K60" s="24">
        <f t="shared" si="5"/>
        <v>0.5</v>
      </c>
      <c r="L60" s="23">
        <f t="shared" si="6"/>
        <v>113609.58</v>
      </c>
    </row>
    <row r="61" spans="1:12" s="22" customFormat="1" x14ac:dyDescent="0.25">
      <c r="A61" s="22" t="s">
        <v>50</v>
      </c>
      <c r="B61" s="22" t="s">
        <v>49</v>
      </c>
      <c r="C61" s="23">
        <v>7064409000</v>
      </c>
      <c r="D61" s="24">
        <v>3.6589999999999998</v>
      </c>
      <c r="E61" s="69">
        <f t="shared" si="3"/>
        <v>25848672.530999999</v>
      </c>
      <c r="F61" s="23">
        <f t="shared" si="4"/>
        <v>25848672.530999999</v>
      </c>
      <c r="G61" s="24">
        <v>0</v>
      </c>
      <c r="H61" s="23">
        <v>0</v>
      </c>
      <c r="I61" s="24">
        <v>0.03</v>
      </c>
      <c r="J61" s="23">
        <v>211932</v>
      </c>
      <c r="K61" s="24">
        <f t="shared" si="5"/>
        <v>3.6889999999999996</v>
      </c>
      <c r="L61" s="23">
        <f t="shared" si="6"/>
        <v>26060604.530999999</v>
      </c>
    </row>
    <row r="62" spans="1:12" s="22" customFormat="1" x14ac:dyDescent="0.25">
      <c r="A62" s="22" t="s">
        <v>109</v>
      </c>
      <c r="B62" s="22" t="s">
        <v>107</v>
      </c>
      <c r="C62" s="23">
        <v>77496335</v>
      </c>
      <c r="D62" s="24">
        <v>4.75</v>
      </c>
      <c r="E62" s="69">
        <f t="shared" si="3"/>
        <v>368107.59125</v>
      </c>
      <c r="F62" s="23">
        <f t="shared" si="4"/>
        <v>368107.59125</v>
      </c>
      <c r="G62" s="24">
        <v>0</v>
      </c>
      <c r="H62" s="23">
        <v>0</v>
      </c>
      <c r="I62" s="24">
        <v>0</v>
      </c>
      <c r="J62" s="23">
        <v>0</v>
      </c>
      <c r="K62" s="24">
        <f t="shared" si="5"/>
        <v>4.75</v>
      </c>
      <c r="L62" s="23">
        <f t="shared" si="6"/>
        <v>368107.59125</v>
      </c>
    </row>
    <row r="63" spans="1:12" s="22" customFormat="1" x14ac:dyDescent="0.25">
      <c r="A63" s="22" t="s">
        <v>9</v>
      </c>
      <c r="B63" s="22" t="s">
        <v>8</v>
      </c>
      <c r="C63" s="23">
        <v>127163600</v>
      </c>
      <c r="D63" s="24">
        <v>2.8</v>
      </c>
      <c r="E63" s="69">
        <f t="shared" si="3"/>
        <v>356058.08</v>
      </c>
      <c r="F63" s="23">
        <f t="shared" si="4"/>
        <v>356058.08</v>
      </c>
      <c r="G63" s="24">
        <v>0</v>
      </c>
      <c r="H63" s="23">
        <v>0</v>
      </c>
      <c r="I63" s="24">
        <v>4.0000000000000001E-3</v>
      </c>
      <c r="J63" s="23">
        <v>509</v>
      </c>
      <c r="K63" s="24">
        <f t="shared" si="5"/>
        <v>2.8039999999999998</v>
      </c>
      <c r="L63" s="23">
        <f t="shared" si="6"/>
        <v>356567.08</v>
      </c>
    </row>
    <row r="64" spans="1:12" s="22" customFormat="1" x14ac:dyDescent="0.25">
      <c r="A64" s="22" t="s">
        <v>19</v>
      </c>
      <c r="B64" s="22" t="s">
        <v>20</v>
      </c>
      <c r="C64" s="23">
        <v>213691291</v>
      </c>
      <c r="D64" s="24">
        <v>1.5</v>
      </c>
      <c r="E64" s="69">
        <f t="shared" si="3"/>
        <v>320536.93650000001</v>
      </c>
      <c r="F64" s="23">
        <f t="shared" si="4"/>
        <v>320536.93650000001</v>
      </c>
      <c r="G64" s="24">
        <v>0</v>
      </c>
      <c r="H64" s="23">
        <v>0</v>
      </c>
      <c r="I64" s="24">
        <v>0</v>
      </c>
      <c r="J64" s="23">
        <v>0</v>
      </c>
      <c r="K64" s="24">
        <f t="shared" si="5"/>
        <v>1.5</v>
      </c>
      <c r="L64" s="23">
        <f t="shared" si="6"/>
        <v>320536.93650000001</v>
      </c>
    </row>
    <row r="65" spans="1:12" s="22" customFormat="1" x14ac:dyDescent="0.25">
      <c r="A65" s="22" t="s">
        <v>127</v>
      </c>
      <c r="B65" s="22" t="s">
        <v>60</v>
      </c>
      <c r="C65" s="23">
        <v>337411090</v>
      </c>
      <c r="D65" s="24">
        <v>3.5</v>
      </c>
      <c r="E65" s="69">
        <f t="shared" si="3"/>
        <v>1180938.8149999999</v>
      </c>
      <c r="F65" s="23">
        <f t="shared" si="4"/>
        <v>1180938.8149999999</v>
      </c>
      <c r="G65" s="24">
        <v>0</v>
      </c>
      <c r="H65" s="23">
        <v>0</v>
      </c>
      <c r="I65" s="24">
        <v>3.0000000000000001E-3</v>
      </c>
      <c r="J65" s="23">
        <v>1012</v>
      </c>
      <c r="K65" s="24">
        <f t="shared" si="5"/>
        <v>3.5030000000000001</v>
      </c>
      <c r="L65" s="23">
        <f t="shared" si="6"/>
        <v>1181950.8149999999</v>
      </c>
    </row>
    <row r="66" spans="1:12" s="22" customFormat="1" x14ac:dyDescent="0.25">
      <c r="A66" s="22" t="s">
        <v>30</v>
      </c>
      <c r="B66" s="22" t="s">
        <v>29</v>
      </c>
      <c r="C66" s="23">
        <v>372508180</v>
      </c>
      <c r="D66" s="24">
        <f>0.573-0.04</f>
        <v>0.53299999999999992</v>
      </c>
      <c r="E66" s="69">
        <f t="shared" si="3"/>
        <v>198546.85993999997</v>
      </c>
      <c r="F66" s="23">
        <f t="shared" si="4"/>
        <v>198546.85993999997</v>
      </c>
      <c r="G66" s="24">
        <v>0</v>
      </c>
      <c r="H66" s="23">
        <v>0</v>
      </c>
      <c r="I66" s="24">
        <v>1.6E-2</v>
      </c>
      <c r="J66" s="23">
        <v>5960</v>
      </c>
      <c r="K66" s="24">
        <f t="shared" si="5"/>
        <v>0.54899999999999993</v>
      </c>
      <c r="L66" s="23">
        <f t="shared" si="6"/>
        <v>204506.85993999997</v>
      </c>
    </row>
    <row r="67" spans="1:12" s="22" customFormat="1" x14ac:dyDescent="0.25">
      <c r="A67" s="22" t="s">
        <v>114</v>
      </c>
      <c r="B67" s="22" t="s">
        <v>25</v>
      </c>
      <c r="C67" s="23">
        <v>910698463</v>
      </c>
      <c r="D67" s="24">
        <v>3.5289999999999999</v>
      </c>
      <c r="E67" s="69">
        <f t="shared" si="3"/>
        <v>3213854.8759269998</v>
      </c>
      <c r="F67" s="23">
        <f t="shared" si="4"/>
        <v>3213854.8759269998</v>
      </c>
      <c r="G67" s="24">
        <v>0</v>
      </c>
      <c r="H67" s="23">
        <v>0</v>
      </c>
      <c r="I67" s="24">
        <v>6.7000000000000004E-2</v>
      </c>
      <c r="J67" s="23">
        <v>61017</v>
      </c>
      <c r="K67" s="24">
        <f t="shared" si="5"/>
        <v>3.5960000000000001</v>
      </c>
      <c r="L67" s="23">
        <f t="shared" si="6"/>
        <v>3274871.8759269998</v>
      </c>
    </row>
    <row r="68" spans="1:12" s="22" customFormat="1" x14ac:dyDescent="0.25">
      <c r="A68" s="22" t="s">
        <v>113</v>
      </c>
      <c r="B68" s="22" t="s">
        <v>25</v>
      </c>
      <c r="C68" s="23">
        <v>42729800</v>
      </c>
      <c r="D68" s="24">
        <v>10.428000000000001</v>
      </c>
      <c r="E68" s="69">
        <f t="shared" si="3"/>
        <v>445586.35440000007</v>
      </c>
      <c r="F68" s="23">
        <f t="shared" si="4"/>
        <v>445586.35440000007</v>
      </c>
      <c r="G68" s="24">
        <v>0</v>
      </c>
      <c r="H68" s="23">
        <v>0</v>
      </c>
      <c r="I68" s="24">
        <v>0</v>
      </c>
      <c r="J68" s="23">
        <v>0</v>
      </c>
      <c r="K68" s="24">
        <f t="shared" si="5"/>
        <v>10.428000000000001</v>
      </c>
      <c r="L68" s="23">
        <f t="shared" si="6"/>
        <v>445586.35440000007</v>
      </c>
    </row>
    <row r="69" spans="1:12" s="22" customFormat="1" x14ac:dyDescent="0.25">
      <c r="A69" s="22" t="s">
        <v>23</v>
      </c>
      <c r="B69" s="22" t="s">
        <v>22</v>
      </c>
      <c r="C69" s="23">
        <v>96461330</v>
      </c>
      <c r="D69" s="24">
        <f>1.125-0.088</f>
        <v>1.0369999999999999</v>
      </c>
      <c r="E69" s="69">
        <f t="shared" si="3"/>
        <v>100030.39920999999</v>
      </c>
      <c r="F69" s="23">
        <f>((D69/1000)*C69)</f>
        <v>100030.39920999999</v>
      </c>
      <c r="G69" s="24">
        <v>0</v>
      </c>
      <c r="H69" s="23">
        <v>0</v>
      </c>
      <c r="I69" s="24">
        <v>0</v>
      </c>
      <c r="J69" s="23">
        <v>0</v>
      </c>
      <c r="K69" s="24">
        <f t="shared" si="5"/>
        <v>1.0369999999999999</v>
      </c>
      <c r="L69" s="23">
        <f t="shared" si="6"/>
        <v>100030.39920999999</v>
      </c>
    </row>
    <row r="70" spans="1:12" s="22" customFormat="1" x14ac:dyDescent="0.25">
      <c r="A70" s="22" t="s">
        <v>129</v>
      </c>
      <c r="B70" s="22" t="s">
        <v>130</v>
      </c>
      <c r="C70" s="23">
        <v>238253760</v>
      </c>
      <c r="D70" s="24">
        <v>1.5</v>
      </c>
      <c r="E70" s="69">
        <f t="shared" si="3"/>
        <v>357380.64</v>
      </c>
      <c r="F70" s="23">
        <f>((D70/1000)*C70)</f>
        <v>357380.64</v>
      </c>
      <c r="G70" s="24">
        <v>0</v>
      </c>
      <c r="H70" s="23">
        <v>0</v>
      </c>
      <c r="I70" s="24">
        <v>0</v>
      </c>
      <c r="J70" s="23">
        <v>0</v>
      </c>
      <c r="K70" s="24">
        <f t="shared" si="5"/>
        <v>1.5</v>
      </c>
      <c r="L70" s="23">
        <f t="shared" si="6"/>
        <v>357380.64</v>
      </c>
    </row>
    <row r="71" spans="1:12" s="22" customFormat="1" x14ac:dyDescent="0.25">
      <c r="A71" s="22" t="s">
        <v>97</v>
      </c>
      <c r="B71" s="22" t="s">
        <v>96</v>
      </c>
      <c r="C71" s="23">
        <v>110126428</v>
      </c>
      <c r="D71" s="24">
        <v>2.08</v>
      </c>
      <c r="E71" s="69">
        <f t="shared" si="3"/>
        <v>229062.97024000002</v>
      </c>
      <c r="F71" s="23">
        <f t="shared" si="4"/>
        <v>229062.97024000002</v>
      </c>
      <c r="G71" s="24">
        <v>2.02</v>
      </c>
      <c r="H71" s="23">
        <v>222455</v>
      </c>
      <c r="I71" s="24">
        <v>8.0000000000000002E-3</v>
      </c>
      <c r="J71" s="23">
        <v>881</v>
      </c>
      <c r="K71" s="24">
        <f t="shared" si="5"/>
        <v>4.1079999999999997</v>
      </c>
      <c r="L71" s="23">
        <f t="shared" si="6"/>
        <v>452398.97024000005</v>
      </c>
    </row>
    <row r="72" spans="1:12" s="22" customFormat="1" x14ac:dyDescent="0.25">
      <c r="A72" s="22" t="s">
        <v>26</v>
      </c>
      <c r="B72" s="22" t="s">
        <v>27</v>
      </c>
      <c r="C72" s="23">
        <v>2477541750</v>
      </c>
      <c r="D72" s="24">
        <v>0.65300000000000002</v>
      </c>
      <c r="E72" s="69">
        <f t="shared" si="3"/>
        <v>1617834.76275</v>
      </c>
      <c r="F72" s="23">
        <f t="shared" si="4"/>
        <v>1617834.76275</v>
      </c>
      <c r="G72" s="24">
        <v>0</v>
      </c>
      <c r="H72" s="23">
        <v>0</v>
      </c>
      <c r="I72" s="24">
        <v>0</v>
      </c>
      <c r="J72" s="23">
        <v>0</v>
      </c>
      <c r="K72" s="24">
        <f t="shared" si="5"/>
        <v>0.65300000000000002</v>
      </c>
      <c r="L72" s="23">
        <f t="shared" si="6"/>
        <v>1617834.76275</v>
      </c>
    </row>
    <row r="73" spans="1:12" s="22" customFormat="1" x14ac:dyDescent="0.25">
      <c r="A73" s="22" t="s">
        <v>52</v>
      </c>
      <c r="B73" s="22" t="s">
        <v>53</v>
      </c>
      <c r="C73" s="23">
        <v>383735150</v>
      </c>
      <c r="D73" s="24">
        <v>1.5</v>
      </c>
      <c r="E73" s="69">
        <f t="shared" si="3"/>
        <v>575602.72499999998</v>
      </c>
      <c r="F73" s="23">
        <f t="shared" si="4"/>
        <v>575602.72499999998</v>
      </c>
      <c r="G73" s="24">
        <v>0</v>
      </c>
      <c r="H73" s="23">
        <v>0</v>
      </c>
      <c r="I73" s="24">
        <v>3.0000000000000001E-3</v>
      </c>
      <c r="J73" s="23">
        <v>1151</v>
      </c>
      <c r="K73" s="24">
        <f t="shared" si="5"/>
        <v>1.5029999999999999</v>
      </c>
      <c r="L73" s="23">
        <f t="shared" si="6"/>
        <v>576753.72499999998</v>
      </c>
    </row>
    <row r="74" spans="1:12" customFormat="1" x14ac:dyDescent="0.25">
      <c r="A74" t="s">
        <v>69</v>
      </c>
      <c r="B74" t="s">
        <v>70</v>
      </c>
      <c r="C74" s="2">
        <v>114878280</v>
      </c>
      <c r="D74" s="19">
        <v>1.9830000000000001</v>
      </c>
      <c r="E74" s="69">
        <f t="shared" si="3"/>
        <v>227803.62923999998</v>
      </c>
      <c r="F74" s="2">
        <f t="shared" si="4"/>
        <v>227803.62923999998</v>
      </c>
      <c r="G74" s="19">
        <v>0</v>
      </c>
      <c r="H74" s="2">
        <v>0</v>
      </c>
      <c r="I74" s="19">
        <v>0</v>
      </c>
      <c r="J74" s="2">
        <v>0</v>
      </c>
      <c r="K74" s="19">
        <f t="shared" si="5"/>
        <v>1.9830000000000001</v>
      </c>
      <c r="L74" s="2">
        <f t="shared" si="6"/>
        <v>227803.62923999998</v>
      </c>
    </row>
    <row r="75" spans="1:12" s="22" customFormat="1" x14ac:dyDescent="0.25">
      <c r="A75" s="22" t="s">
        <v>24</v>
      </c>
      <c r="B75" s="22" t="s">
        <v>22</v>
      </c>
      <c r="C75" s="23">
        <v>132719100</v>
      </c>
      <c r="D75" s="24">
        <v>1.7110000000000001</v>
      </c>
      <c r="E75" s="69">
        <f t="shared" si="3"/>
        <v>227082.38010000001</v>
      </c>
      <c r="F75" s="23">
        <f t="shared" si="4"/>
        <v>227082.38010000001</v>
      </c>
      <c r="G75" s="24">
        <v>0</v>
      </c>
      <c r="H75" s="23">
        <v>0</v>
      </c>
      <c r="I75" s="24">
        <v>0</v>
      </c>
      <c r="J75" s="23">
        <v>0</v>
      </c>
      <c r="K75" s="24">
        <f t="shared" si="5"/>
        <v>1.7110000000000001</v>
      </c>
      <c r="L75" s="23">
        <f t="shared" si="6"/>
        <v>227082.38010000001</v>
      </c>
    </row>
    <row r="76" spans="1:12" x14ac:dyDescent="0.25">
      <c r="C76" s="34"/>
      <c r="D76" s="34"/>
      <c r="E76" s="34"/>
      <c r="F76" s="35"/>
      <c r="G76" s="34"/>
      <c r="H76" s="34"/>
      <c r="I76" s="34"/>
      <c r="J76" s="34"/>
      <c r="K76" s="34"/>
      <c r="L76" s="34"/>
    </row>
    <row r="77" spans="1:12" x14ac:dyDescent="0.25">
      <c r="C77" s="34"/>
      <c r="D77" s="34"/>
      <c r="E77" s="34"/>
      <c r="F77" s="35"/>
      <c r="G77" s="34"/>
      <c r="H77" s="34"/>
      <c r="I77" s="34"/>
      <c r="J77" s="34"/>
      <c r="K77" s="34"/>
      <c r="L77" s="34"/>
    </row>
    <row r="78" spans="1:12" x14ac:dyDescent="0.25">
      <c r="C78" s="34"/>
      <c r="D78" s="34"/>
      <c r="F78" s="35"/>
      <c r="G78" s="34"/>
      <c r="H78" s="34"/>
      <c r="I78" s="34"/>
      <c r="J78" s="34"/>
      <c r="K78" s="34"/>
      <c r="L78" s="34"/>
    </row>
    <row r="79" spans="1:12" x14ac:dyDescent="0.25">
      <c r="D79" s="56"/>
      <c r="E79" s="57"/>
      <c r="F79" s="67"/>
    </row>
    <row r="80" spans="1:12" x14ac:dyDescent="0.25">
      <c r="A80" s="34" t="s">
        <v>140</v>
      </c>
      <c r="C80" s="35"/>
      <c r="E80" s="59"/>
      <c r="F80" s="68"/>
    </row>
    <row r="81" spans="1:6" x14ac:dyDescent="0.25">
      <c r="B81" s="61"/>
      <c r="E81" s="59"/>
      <c r="F81" s="68"/>
    </row>
    <row r="82" spans="1:6" x14ac:dyDescent="0.25">
      <c r="E82" s="59"/>
      <c r="F82" s="68"/>
    </row>
    <row r="83" spans="1:6" x14ac:dyDescent="0.25">
      <c r="A83" s="37"/>
      <c r="B83" s="35"/>
      <c r="E83" s="59"/>
      <c r="F83" s="68"/>
    </row>
    <row r="84" spans="1:6" x14ac:dyDescent="0.25">
      <c r="E84" s="59"/>
      <c r="F84" s="68"/>
    </row>
  </sheetData>
  <mergeCells count="6">
    <mergeCell ref="K3:L3"/>
    <mergeCell ref="D5:E5"/>
    <mergeCell ref="A1:C1"/>
    <mergeCell ref="D3:E3"/>
    <mergeCell ref="G3:H3"/>
    <mergeCell ref="I3:J3"/>
  </mergeCells>
  <conditionalFormatting sqref="A6:XFD75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E49D4-AE88-4CBA-AC31-2ED7FCB153C1}">
  <dimension ref="A1:N84"/>
  <sheetViews>
    <sheetView topLeftCell="A3" workbookViewId="0">
      <pane ySplit="1215" topLeftCell="A57" activePane="bottomLeft"/>
      <selection activeCell="E1" sqref="E1:E1048576"/>
      <selection pane="bottomLeft" activeCell="K72" sqref="K72"/>
    </sheetView>
  </sheetViews>
  <sheetFormatPr defaultColWidth="8.7109375" defaultRowHeight="15" x14ac:dyDescent="0.25"/>
  <cols>
    <col min="1" max="1" width="40.28515625" customWidth="1"/>
    <col min="2" max="2" width="12.42578125" customWidth="1"/>
    <col min="3" max="3" width="19.5703125" style="8" customWidth="1"/>
    <col min="4" max="4" width="6.5703125" style="1" bestFit="1" customWidth="1"/>
    <col min="5" max="5" width="19.42578125" style="8" customWidth="1"/>
    <col min="6" max="6" width="12.5703125" style="1" customWidth="1"/>
    <col min="7" max="7" width="13.28515625" style="8" customWidth="1"/>
    <col min="8" max="8" width="12.28515625" style="1" customWidth="1"/>
    <col min="9" max="9" width="20.42578125" style="8" customWidth="1"/>
    <col min="10" max="10" width="13" style="1" customWidth="1"/>
    <col min="11" max="11" width="15.28515625" style="11" bestFit="1" customWidth="1"/>
    <col min="12" max="12" width="9" bestFit="1" customWidth="1"/>
  </cols>
  <sheetData>
    <row r="1" spans="1:13" ht="16.5" thickBot="1" x14ac:dyDescent="0.3">
      <c r="A1" s="97" t="s">
        <v>142</v>
      </c>
      <c r="B1" s="98"/>
      <c r="C1" s="99"/>
    </row>
    <row r="2" spans="1:13" x14ac:dyDescent="0.25">
      <c r="C2"/>
      <c r="D2"/>
      <c r="E2"/>
      <c r="F2"/>
      <c r="G2"/>
      <c r="H2"/>
      <c r="I2"/>
      <c r="J2"/>
      <c r="K2"/>
    </row>
    <row r="3" spans="1:13" x14ac:dyDescent="0.25">
      <c r="A3" s="14"/>
      <c r="C3" s="71"/>
      <c r="D3" s="90" t="s">
        <v>32</v>
      </c>
      <c r="E3" s="90"/>
      <c r="F3" s="90" t="s">
        <v>62</v>
      </c>
      <c r="G3" s="90"/>
      <c r="H3" s="90" t="s">
        <v>46</v>
      </c>
      <c r="I3" s="90"/>
      <c r="J3" s="88" t="s">
        <v>47</v>
      </c>
      <c r="K3" s="88"/>
    </row>
    <row r="4" spans="1:13" x14ac:dyDescent="0.25">
      <c r="A4" s="4" t="s">
        <v>34</v>
      </c>
      <c r="B4" s="4" t="s">
        <v>48</v>
      </c>
      <c r="C4" s="72" t="s">
        <v>43</v>
      </c>
      <c r="D4" s="3" t="s">
        <v>44</v>
      </c>
      <c r="E4" s="72" t="s">
        <v>45</v>
      </c>
      <c r="F4" s="3" t="s">
        <v>44</v>
      </c>
      <c r="G4" s="72" t="s">
        <v>45</v>
      </c>
      <c r="H4" s="3" t="s">
        <v>44</v>
      </c>
      <c r="I4" s="72" t="s">
        <v>45</v>
      </c>
      <c r="J4" s="3" t="s">
        <v>44</v>
      </c>
      <c r="K4" s="73" t="s">
        <v>45</v>
      </c>
    </row>
    <row r="5" spans="1:13" ht="15.75" thickBot="1" x14ac:dyDescent="0.3">
      <c r="A5" s="15"/>
      <c r="B5" s="15"/>
      <c r="C5" s="16"/>
      <c r="D5" s="89" t="s">
        <v>33</v>
      </c>
      <c r="E5" s="89"/>
      <c r="F5" s="17"/>
      <c r="G5" s="17"/>
      <c r="H5" s="17"/>
      <c r="I5" s="17"/>
      <c r="J5" s="18"/>
      <c r="K5" s="17"/>
    </row>
    <row r="6" spans="1:13" s="74" customFormat="1" x14ac:dyDescent="0.25">
      <c r="A6" s="77" t="s">
        <v>42</v>
      </c>
      <c r="B6" s="77" t="s">
        <v>49</v>
      </c>
      <c r="C6" s="75">
        <v>4324740</v>
      </c>
      <c r="D6" s="76">
        <v>5.7370000000000001</v>
      </c>
      <c r="E6" s="75">
        <f t="shared" ref="E6:E37" si="0">((D6/1000)*C6)</f>
        <v>24811.033380000001</v>
      </c>
      <c r="F6" s="76">
        <v>0</v>
      </c>
      <c r="G6" s="75">
        <f>C6*F6/1000</f>
        <v>0</v>
      </c>
      <c r="H6" s="76">
        <v>5.5E-2</v>
      </c>
      <c r="I6" s="75">
        <f>C6*H6/1000</f>
        <v>237.86070000000001</v>
      </c>
      <c r="J6" s="76">
        <v>5.7530000000000001</v>
      </c>
      <c r="K6" s="75">
        <f t="shared" ref="K6:K69" si="1">E6+G6+I6</f>
        <v>25048.894080000002</v>
      </c>
      <c r="L6" s="77"/>
    </row>
    <row r="7" spans="1:13" x14ac:dyDescent="0.25">
      <c r="A7" t="s">
        <v>42</v>
      </c>
      <c r="B7" t="s">
        <v>51</v>
      </c>
      <c r="C7" s="75">
        <v>7231030680</v>
      </c>
      <c r="D7" s="76">
        <v>5.7370000000000001</v>
      </c>
      <c r="E7" s="75">
        <f t="shared" si="0"/>
        <v>41484423.011160001</v>
      </c>
      <c r="F7" s="76">
        <v>0</v>
      </c>
      <c r="G7" s="75">
        <f t="shared" ref="G7:G70" si="2">C7*F7/1000</f>
        <v>0</v>
      </c>
      <c r="H7" s="76">
        <v>3.4000000000000002E-2</v>
      </c>
      <c r="I7" s="75">
        <f>C7*H7/1000</f>
        <v>245855.04312000002</v>
      </c>
      <c r="J7" s="76">
        <v>5.7709999999999999</v>
      </c>
      <c r="K7" s="75">
        <f t="shared" si="1"/>
        <v>41730278.054279998</v>
      </c>
      <c r="L7" s="77"/>
      <c r="M7" s="74"/>
    </row>
    <row r="8" spans="1:13" x14ac:dyDescent="0.25">
      <c r="A8" t="s">
        <v>76</v>
      </c>
      <c r="B8" t="s">
        <v>77</v>
      </c>
      <c r="C8" s="75">
        <v>273153790</v>
      </c>
      <c r="D8" s="76">
        <v>2.61</v>
      </c>
      <c r="E8" s="75">
        <f t="shared" si="0"/>
        <v>712931.39189999993</v>
      </c>
      <c r="F8" s="76">
        <v>1.992</v>
      </c>
      <c r="G8" s="75">
        <f t="shared" si="2"/>
        <v>544122.34967999998</v>
      </c>
      <c r="H8" s="76">
        <v>0.75</v>
      </c>
      <c r="I8" s="75">
        <f t="shared" ref="I8:I72" si="3">C8*H8/1000</f>
        <v>204865.3425</v>
      </c>
      <c r="J8" s="76">
        <f>D8+F8+H8</f>
        <v>5.3520000000000003</v>
      </c>
      <c r="K8" s="75">
        <f t="shared" si="1"/>
        <v>1461919.0840799999</v>
      </c>
      <c r="L8" s="74"/>
      <c r="M8" s="74"/>
    </row>
    <row r="9" spans="1:13" x14ac:dyDescent="0.25">
      <c r="A9" t="s">
        <v>76</v>
      </c>
      <c r="B9" t="s">
        <v>10</v>
      </c>
      <c r="C9" s="75">
        <v>193543290</v>
      </c>
      <c r="D9" s="76">
        <v>2.61</v>
      </c>
      <c r="E9" s="75">
        <f t="shared" si="0"/>
        <v>505147.98689999996</v>
      </c>
      <c r="F9" s="76">
        <v>1.992</v>
      </c>
      <c r="G9" s="75">
        <f t="shared" si="2"/>
        <v>385538.23368</v>
      </c>
      <c r="H9" s="76">
        <v>0.75</v>
      </c>
      <c r="I9" s="75">
        <f t="shared" si="3"/>
        <v>145157.4675</v>
      </c>
      <c r="J9" s="76">
        <f>D9+F9+H9</f>
        <v>5.3520000000000003</v>
      </c>
      <c r="K9" s="75">
        <f t="shared" si="1"/>
        <v>1035843.68808</v>
      </c>
      <c r="L9" s="74"/>
      <c r="M9" s="74"/>
    </row>
    <row r="10" spans="1:13" x14ac:dyDescent="0.25">
      <c r="A10" t="s">
        <v>106</v>
      </c>
      <c r="B10" t="s">
        <v>107</v>
      </c>
      <c r="C10" s="75">
        <v>295530892</v>
      </c>
      <c r="D10" s="76">
        <v>2.4</v>
      </c>
      <c r="E10" s="75">
        <f t="shared" si="0"/>
        <v>709274.14079999994</v>
      </c>
      <c r="F10" s="76">
        <v>0</v>
      </c>
      <c r="G10" s="75">
        <f t="shared" si="2"/>
        <v>0</v>
      </c>
      <c r="H10" s="76">
        <v>0</v>
      </c>
      <c r="I10" s="75">
        <f>C10*H10/1000</f>
        <v>0</v>
      </c>
      <c r="J10" s="76">
        <f>D10+F10+H10</f>
        <v>2.4</v>
      </c>
      <c r="K10" s="75">
        <f t="shared" si="1"/>
        <v>709274.14079999994</v>
      </c>
      <c r="L10" s="74"/>
      <c r="M10" s="74"/>
    </row>
    <row r="11" spans="1:13" x14ac:dyDescent="0.25">
      <c r="A11" t="s">
        <v>65</v>
      </c>
      <c r="B11" t="s">
        <v>111</v>
      </c>
      <c r="C11" s="75">
        <v>311995840</v>
      </c>
      <c r="D11" s="76">
        <v>2</v>
      </c>
      <c r="E11" s="75">
        <f t="shared" si="0"/>
        <v>623991.68000000005</v>
      </c>
      <c r="F11" s="76">
        <v>0</v>
      </c>
      <c r="G11" s="75">
        <f t="shared" si="2"/>
        <v>0</v>
      </c>
      <c r="H11" s="76">
        <v>0</v>
      </c>
      <c r="I11" s="75">
        <f t="shared" si="3"/>
        <v>0</v>
      </c>
      <c r="J11" s="76">
        <f>D11+F11+H11</f>
        <v>2</v>
      </c>
      <c r="K11" s="75">
        <f t="shared" si="1"/>
        <v>623991.68000000005</v>
      </c>
      <c r="L11" s="74"/>
      <c r="M11" s="74"/>
    </row>
    <row r="12" spans="1:13" x14ac:dyDescent="0.25">
      <c r="A12" t="s">
        <v>36</v>
      </c>
      <c r="B12" t="s">
        <v>31</v>
      </c>
      <c r="C12" s="75">
        <v>1615546820</v>
      </c>
      <c r="D12" s="76">
        <v>3.5459999999999998</v>
      </c>
      <c r="E12" s="75">
        <f t="shared" si="0"/>
        <v>5728729.023719999</v>
      </c>
      <c r="F12" s="76">
        <v>0</v>
      </c>
      <c r="G12" s="75">
        <f t="shared" si="2"/>
        <v>0</v>
      </c>
      <c r="H12" s="76">
        <v>7.0000000000000001E-3</v>
      </c>
      <c r="I12" s="75">
        <f t="shared" si="3"/>
        <v>11308.827740000001</v>
      </c>
      <c r="J12" s="76">
        <v>3.5529999999999999</v>
      </c>
      <c r="K12" s="75">
        <f t="shared" si="1"/>
        <v>5740037.8514599986</v>
      </c>
      <c r="L12" s="74"/>
      <c r="M12" s="74"/>
    </row>
    <row r="13" spans="1:13" x14ac:dyDescent="0.25">
      <c r="A13" t="s">
        <v>66</v>
      </c>
      <c r="B13" t="s">
        <v>37</v>
      </c>
      <c r="C13" s="75">
        <v>86239074</v>
      </c>
      <c r="D13" s="76">
        <v>1.9610000000000001</v>
      </c>
      <c r="E13" s="75">
        <f t="shared" si="0"/>
        <v>169114.82411400002</v>
      </c>
      <c r="F13" s="76">
        <v>0</v>
      </c>
      <c r="G13" s="75">
        <f t="shared" si="2"/>
        <v>0</v>
      </c>
      <c r="H13" s="76">
        <v>5.0000000000000001E-3</v>
      </c>
      <c r="I13" s="75">
        <f t="shared" si="3"/>
        <v>431.19536999999997</v>
      </c>
      <c r="J13" s="76">
        <v>1.966</v>
      </c>
      <c r="K13" s="75">
        <f t="shared" si="1"/>
        <v>169546.01948400002</v>
      </c>
      <c r="L13" s="74"/>
      <c r="M13" s="74"/>
    </row>
    <row r="14" spans="1:13" x14ac:dyDescent="0.25">
      <c r="A14" t="s">
        <v>67</v>
      </c>
      <c r="B14" t="s">
        <v>68</v>
      </c>
      <c r="C14" s="75">
        <v>126629935</v>
      </c>
      <c r="D14" s="76">
        <v>0.5</v>
      </c>
      <c r="E14" s="75">
        <f t="shared" si="0"/>
        <v>63314.967499999999</v>
      </c>
      <c r="F14" s="76">
        <v>0</v>
      </c>
      <c r="G14" s="75">
        <f t="shared" si="2"/>
        <v>0</v>
      </c>
      <c r="H14" s="76">
        <v>0</v>
      </c>
      <c r="I14" s="75">
        <f t="shared" si="3"/>
        <v>0</v>
      </c>
      <c r="J14" s="76">
        <f>D14+F14+H14</f>
        <v>0.5</v>
      </c>
      <c r="K14" s="75">
        <f t="shared" si="1"/>
        <v>63314.967499999999</v>
      </c>
      <c r="L14" s="74"/>
      <c r="M14" s="74"/>
    </row>
    <row r="15" spans="1:13" x14ac:dyDescent="0.25">
      <c r="A15" t="s">
        <v>71</v>
      </c>
      <c r="B15" t="s">
        <v>38</v>
      </c>
      <c r="C15" s="75">
        <v>386461864</v>
      </c>
      <c r="D15" s="76">
        <v>3</v>
      </c>
      <c r="E15" s="75">
        <f t="shared" si="0"/>
        <v>1159385.5919999999</v>
      </c>
      <c r="F15" s="76">
        <v>0</v>
      </c>
      <c r="G15" s="75">
        <f t="shared" si="2"/>
        <v>0</v>
      </c>
      <c r="H15" s="76">
        <v>0</v>
      </c>
      <c r="I15" s="75">
        <f t="shared" si="3"/>
        <v>0</v>
      </c>
      <c r="J15" s="76">
        <f>D15+F15+H15</f>
        <v>3</v>
      </c>
      <c r="K15" s="75">
        <f t="shared" si="1"/>
        <v>1159385.5919999999</v>
      </c>
      <c r="L15" s="74"/>
      <c r="M15" s="74"/>
    </row>
    <row r="16" spans="1:13" x14ac:dyDescent="0.25">
      <c r="A16" t="s">
        <v>71</v>
      </c>
      <c r="B16" t="s">
        <v>4</v>
      </c>
      <c r="C16" s="75">
        <v>5578650</v>
      </c>
      <c r="D16" s="76">
        <v>3</v>
      </c>
      <c r="E16" s="75">
        <f t="shared" si="0"/>
        <v>16735.95</v>
      </c>
      <c r="F16" s="76">
        <v>0</v>
      </c>
      <c r="G16" s="75">
        <f t="shared" si="2"/>
        <v>0</v>
      </c>
      <c r="H16" s="76">
        <v>0</v>
      </c>
      <c r="I16" s="75">
        <f t="shared" si="3"/>
        <v>0</v>
      </c>
      <c r="J16" s="76">
        <f>D16+F16+H16</f>
        <v>3</v>
      </c>
      <c r="K16" s="75">
        <f t="shared" si="1"/>
        <v>16735.95</v>
      </c>
      <c r="L16" s="74"/>
      <c r="M16" s="74"/>
    </row>
    <row r="17" spans="1:13" x14ac:dyDescent="0.25">
      <c r="A17" t="s">
        <v>72</v>
      </c>
      <c r="B17" t="s">
        <v>73</v>
      </c>
      <c r="C17" s="75">
        <v>94519731</v>
      </c>
      <c r="D17" s="76">
        <v>1</v>
      </c>
      <c r="E17" s="75">
        <f t="shared" si="0"/>
        <v>94519.731</v>
      </c>
      <c r="F17" s="76">
        <v>0</v>
      </c>
      <c r="G17" s="75">
        <f t="shared" si="2"/>
        <v>0</v>
      </c>
      <c r="H17" s="76">
        <v>0</v>
      </c>
      <c r="I17" s="75">
        <f t="shared" si="3"/>
        <v>0</v>
      </c>
      <c r="J17" s="76">
        <f>D17+F17+H17</f>
        <v>1</v>
      </c>
      <c r="K17" s="75">
        <f t="shared" si="1"/>
        <v>94519.731</v>
      </c>
      <c r="L17" s="74"/>
      <c r="M17" s="74"/>
    </row>
    <row r="18" spans="1:13" x14ac:dyDescent="0.25">
      <c r="A18" t="s">
        <v>1</v>
      </c>
      <c r="B18" t="s">
        <v>2</v>
      </c>
      <c r="C18" s="75">
        <v>62236420</v>
      </c>
      <c r="D18" s="76">
        <v>4.1559999999999997</v>
      </c>
      <c r="E18" s="75">
        <f t="shared" si="0"/>
        <v>258654.56151999999</v>
      </c>
      <c r="F18" s="76">
        <v>0</v>
      </c>
      <c r="G18" s="75">
        <f t="shared" si="2"/>
        <v>0</v>
      </c>
      <c r="H18" s="76">
        <v>1.7000000000000001E-2</v>
      </c>
      <c r="I18" s="75">
        <f t="shared" si="3"/>
        <v>1058.0191400000001</v>
      </c>
      <c r="J18" s="76">
        <v>4.173</v>
      </c>
      <c r="K18" s="75">
        <f t="shared" si="1"/>
        <v>259712.58065999998</v>
      </c>
      <c r="L18" s="74"/>
      <c r="M18" s="74"/>
    </row>
    <row r="19" spans="1:13" x14ac:dyDescent="0.25">
      <c r="A19" t="s">
        <v>120</v>
      </c>
      <c r="B19" t="s">
        <v>75</v>
      </c>
      <c r="C19" s="75">
        <v>8172143380</v>
      </c>
      <c r="D19" s="76">
        <v>4</v>
      </c>
      <c r="E19" s="75">
        <f t="shared" si="0"/>
        <v>32688573.52</v>
      </c>
      <c r="F19" s="76">
        <v>0</v>
      </c>
      <c r="G19" s="75">
        <f t="shared" si="2"/>
        <v>0</v>
      </c>
      <c r="H19" s="76">
        <v>8.0000000000000002E-3</v>
      </c>
      <c r="I19" s="75">
        <f t="shared" si="3"/>
        <v>65377.147039999996</v>
      </c>
      <c r="J19" s="76">
        <f t="shared" ref="J19:J25" si="4">D19+F19+H19</f>
        <v>4.008</v>
      </c>
      <c r="K19" s="75">
        <f t="shared" si="1"/>
        <v>32753950.667039998</v>
      </c>
      <c r="L19" s="74"/>
      <c r="M19" s="74"/>
    </row>
    <row r="20" spans="1:13" x14ac:dyDescent="0.25">
      <c r="A20" t="s">
        <v>78</v>
      </c>
      <c r="B20" t="s">
        <v>77</v>
      </c>
      <c r="C20" s="75">
        <v>2064997630</v>
      </c>
      <c r="D20" s="76">
        <v>2.7629999999999999</v>
      </c>
      <c r="E20" s="75">
        <f t="shared" si="0"/>
        <v>5705588.4516899996</v>
      </c>
      <c r="F20" s="76">
        <v>0</v>
      </c>
      <c r="G20" s="75">
        <f t="shared" si="2"/>
        <v>0</v>
      </c>
      <c r="H20" s="76">
        <v>0</v>
      </c>
      <c r="I20" s="75">
        <f t="shared" si="3"/>
        <v>0</v>
      </c>
      <c r="J20" s="76">
        <f t="shared" si="4"/>
        <v>2.7629999999999999</v>
      </c>
      <c r="K20" s="75">
        <f t="shared" si="1"/>
        <v>5705588.4516899996</v>
      </c>
      <c r="L20" s="74"/>
      <c r="M20" s="74"/>
    </row>
    <row r="21" spans="1:13" x14ac:dyDescent="0.25">
      <c r="A21" t="s">
        <v>63</v>
      </c>
      <c r="B21" t="s">
        <v>64</v>
      </c>
      <c r="C21" s="75">
        <v>94259412</v>
      </c>
      <c r="D21" s="76">
        <v>1</v>
      </c>
      <c r="E21" s="75">
        <f t="shared" si="0"/>
        <v>94259.411999999997</v>
      </c>
      <c r="F21" s="76">
        <v>0</v>
      </c>
      <c r="G21" s="75">
        <f t="shared" si="2"/>
        <v>0</v>
      </c>
      <c r="H21" s="76">
        <v>0</v>
      </c>
      <c r="I21" s="75">
        <f t="shared" si="3"/>
        <v>0</v>
      </c>
      <c r="J21" s="76">
        <f t="shared" si="4"/>
        <v>1</v>
      </c>
      <c r="K21" s="75">
        <f t="shared" si="1"/>
        <v>94259.411999999997</v>
      </c>
      <c r="L21" s="74"/>
      <c r="M21" s="74"/>
    </row>
    <row r="22" spans="1:13" x14ac:dyDescent="0.25">
      <c r="A22" t="s">
        <v>6</v>
      </c>
      <c r="B22" t="s">
        <v>7</v>
      </c>
      <c r="C22" s="75">
        <v>256261260</v>
      </c>
      <c r="D22" s="76">
        <v>3.5</v>
      </c>
      <c r="E22" s="75">
        <f t="shared" si="0"/>
        <v>896914.41</v>
      </c>
      <c r="F22" s="76">
        <v>0</v>
      </c>
      <c r="G22" s="75">
        <f t="shared" si="2"/>
        <v>0</v>
      </c>
      <c r="H22" s="76">
        <v>0</v>
      </c>
      <c r="I22" s="75">
        <f t="shared" si="3"/>
        <v>0</v>
      </c>
      <c r="J22" s="76">
        <f t="shared" si="4"/>
        <v>3.5</v>
      </c>
      <c r="K22" s="75">
        <f t="shared" si="1"/>
        <v>896914.41</v>
      </c>
      <c r="L22" s="74"/>
      <c r="M22" s="74"/>
    </row>
    <row r="23" spans="1:13" x14ac:dyDescent="0.25">
      <c r="A23" t="s">
        <v>21</v>
      </c>
      <c r="B23" t="s">
        <v>22</v>
      </c>
      <c r="C23" s="75">
        <v>1138972450</v>
      </c>
      <c r="D23" s="76">
        <f>3.298-1.046</f>
        <v>2.2519999999999998</v>
      </c>
      <c r="E23" s="75">
        <f t="shared" si="0"/>
        <v>2564965.9573999997</v>
      </c>
      <c r="F23" s="76">
        <v>0.82299999999999995</v>
      </c>
      <c r="G23" s="75">
        <f t="shared" si="2"/>
        <v>937374.32634999987</v>
      </c>
      <c r="H23" s="76">
        <v>0</v>
      </c>
      <c r="I23" s="75">
        <f t="shared" si="3"/>
        <v>0</v>
      </c>
      <c r="J23" s="76">
        <f t="shared" si="4"/>
        <v>3.0749999999999997</v>
      </c>
      <c r="K23" s="75">
        <f t="shared" si="1"/>
        <v>3502340.2837499995</v>
      </c>
      <c r="L23" s="74"/>
      <c r="M23" s="74"/>
    </row>
    <row r="24" spans="1:13" x14ac:dyDescent="0.25">
      <c r="A24" t="s">
        <v>79</v>
      </c>
      <c r="B24" t="s">
        <v>80</v>
      </c>
      <c r="C24" s="75">
        <v>495369220</v>
      </c>
      <c r="D24" s="76">
        <v>2.516</v>
      </c>
      <c r="E24" s="75">
        <f t="shared" si="0"/>
        <v>1246348.9575199999</v>
      </c>
      <c r="F24" s="76">
        <v>0</v>
      </c>
      <c r="G24" s="75">
        <f t="shared" si="2"/>
        <v>0</v>
      </c>
      <c r="H24" s="76">
        <v>0</v>
      </c>
      <c r="I24" s="75">
        <f t="shared" si="3"/>
        <v>0</v>
      </c>
      <c r="J24" s="76">
        <f t="shared" si="4"/>
        <v>2.516</v>
      </c>
      <c r="K24" s="75">
        <f t="shared" si="1"/>
        <v>1246348.9575199999</v>
      </c>
      <c r="L24" s="74"/>
      <c r="M24" s="74"/>
    </row>
    <row r="25" spans="1:13" x14ac:dyDescent="0.25">
      <c r="A25" t="s">
        <v>108</v>
      </c>
      <c r="B25" t="s">
        <v>107</v>
      </c>
      <c r="C25" s="75">
        <v>434565688</v>
      </c>
      <c r="D25" s="76">
        <v>4.5199999999999996</v>
      </c>
      <c r="E25" s="75">
        <f t="shared" si="0"/>
        <v>1964236.90976</v>
      </c>
      <c r="F25" s="76">
        <v>0</v>
      </c>
      <c r="G25" s="75">
        <f t="shared" si="2"/>
        <v>0</v>
      </c>
      <c r="H25" s="76">
        <v>2.4E-2</v>
      </c>
      <c r="I25" s="75">
        <f t="shared" si="3"/>
        <v>10429.576512</v>
      </c>
      <c r="J25" s="76">
        <f t="shared" si="4"/>
        <v>4.5439999999999996</v>
      </c>
      <c r="K25" s="75">
        <f t="shared" si="1"/>
        <v>1974666.486272</v>
      </c>
      <c r="L25" s="74"/>
      <c r="M25" s="74"/>
    </row>
    <row r="26" spans="1:13" x14ac:dyDescent="0.25">
      <c r="A26" t="s">
        <v>86</v>
      </c>
      <c r="B26" t="s">
        <v>87</v>
      </c>
      <c r="C26" s="79">
        <v>2928717730</v>
      </c>
      <c r="D26" s="76">
        <v>1.5</v>
      </c>
      <c r="E26" s="75">
        <f t="shared" si="0"/>
        <v>4393076.5949999997</v>
      </c>
      <c r="F26" s="76">
        <v>0</v>
      </c>
      <c r="G26" s="75">
        <f t="shared" si="2"/>
        <v>0</v>
      </c>
      <c r="H26" s="76">
        <v>1.002</v>
      </c>
      <c r="I26" s="75">
        <f t="shared" si="3"/>
        <v>2934575.1654599998</v>
      </c>
      <c r="J26" s="76">
        <v>2.5019999999999998</v>
      </c>
      <c r="K26" s="75">
        <f t="shared" si="1"/>
        <v>7327651.7604599996</v>
      </c>
      <c r="L26" s="74"/>
      <c r="M26" s="74"/>
    </row>
    <row r="27" spans="1:13" x14ac:dyDescent="0.25">
      <c r="A27" t="s">
        <v>88</v>
      </c>
      <c r="B27" t="s">
        <v>89</v>
      </c>
      <c r="C27" s="75">
        <v>448913080</v>
      </c>
      <c r="D27" s="76">
        <v>0.23899999999999999</v>
      </c>
      <c r="E27" s="75">
        <f t="shared" si="0"/>
        <v>107290.22611999999</v>
      </c>
      <c r="F27" s="76">
        <v>0</v>
      </c>
      <c r="G27" s="75">
        <f t="shared" si="2"/>
        <v>0</v>
      </c>
      <c r="H27" s="76">
        <v>0.999</v>
      </c>
      <c r="I27" s="75">
        <f t="shared" si="3"/>
        <v>448464.16691999999</v>
      </c>
      <c r="J27" s="76">
        <f t="shared" ref="J27:J47" si="5">D27+F27+H27</f>
        <v>1.238</v>
      </c>
      <c r="K27" s="75">
        <f t="shared" si="1"/>
        <v>555754.39304</v>
      </c>
      <c r="L27" s="74"/>
      <c r="M27" s="74"/>
    </row>
    <row r="28" spans="1:13" x14ac:dyDescent="0.25">
      <c r="A28" t="s">
        <v>90</v>
      </c>
      <c r="B28" t="s">
        <v>91</v>
      </c>
      <c r="C28" s="75">
        <v>944243890</v>
      </c>
      <c r="D28" s="76">
        <v>3.36</v>
      </c>
      <c r="E28" s="75">
        <f t="shared" si="0"/>
        <v>3172659.4703999995</v>
      </c>
      <c r="F28" s="76">
        <v>0</v>
      </c>
      <c r="G28" s="75">
        <f t="shared" si="2"/>
        <v>0</v>
      </c>
      <c r="H28" s="76">
        <v>8.0000000000000002E-3</v>
      </c>
      <c r="I28" s="75">
        <f t="shared" si="3"/>
        <v>7553.9511199999997</v>
      </c>
      <c r="J28" s="76">
        <f t="shared" si="5"/>
        <v>3.3679999999999999</v>
      </c>
      <c r="K28" s="75">
        <f t="shared" si="1"/>
        <v>3180213.4215199994</v>
      </c>
      <c r="L28" s="74"/>
      <c r="M28" s="74"/>
    </row>
    <row r="29" spans="1:13" x14ac:dyDescent="0.25">
      <c r="A29" t="s">
        <v>92</v>
      </c>
      <c r="B29" t="s">
        <v>93</v>
      </c>
      <c r="C29" s="75">
        <v>828719720</v>
      </c>
      <c r="D29" s="76">
        <v>1.9339999999999999</v>
      </c>
      <c r="E29" s="75">
        <f t="shared" si="0"/>
        <v>1602743.93848</v>
      </c>
      <c r="F29" s="76">
        <v>0</v>
      </c>
      <c r="G29" s="75">
        <f t="shared" si="2"/>
        <v>0</v>
      </c>
      <c r="H29" s="76">
        <v>0</v>
      </c>
      <c r="I29" s="75">
        <f t="shared" si="3"/>
        <v>0</v>
      </c>
      <c r="J29" s="76">
        <f t="shared" si="5"/>
        <v>1.9339999999999999</v>
      </c>
      <c r="K29" s="75">
        <f t="shared" si="1"/>
        <v>1602743.93848</v>
      </c>
      <c r="L29" s="74"/>
      <c r="M29" s="74"/>
    </row>
    <row r="30" spans="1:13" x14ac:dyDescent="0.25">
      <c r="A30" t="s">
        <v>56</v>
      </c>
      <c r="B30" t="s">
        <v>57</v>
      </c>
      <c r="C30" s="75">
        <v>206622993</v>
      </c>
      <c r="D30" s="76">
        <v>3.177</v>
      </c>
      <c r="E30" s="75">
        <f t="shared" si="0"/>
        <v>656441.248761</v>
      </c>
      <c r="F30" s="76">
        <v>0</v>
      </c>
      <c r="G30" s="75">
        <f t="shared" si="2"/>
        <v>0</v>
      </c>
      <c r="H30" s="76">
        <v>4.0000000000000001E-3</v>
      </c>
      <c r="I30" s="75">
        <f t="shared" si="3"/>
        <v>826.49197200000003</v>
      </c>
      <c r="J30" s="76">
        <f t="shared" si="5"/>
        <v>3.181</v>
      </c>
      <c r="K30" s="75">
        <f t="shared" si="1"/>
        <v>657267.74073299998</v>
      </c>
      <c r="L30" s="74"/>
      <c r="M30" s="74"/>
    </row>
    <row r="31" spans="1:13" x14ac:dyDescent="0.25">
      <c r="A31" t="s">
        <v>56</v>
      </c>
      <c r="B31" t="s">
        <v>31</v>
      </c>
      <c r="C31" s="75">
        <v>16506661900</v>
      </c>
      <c r="D31" s="76">
        <v>3.177</v>
      </c>
      <c r="E31" s="75">
        <f t="shared" si="0"/>
        <v>52441664.856300004</v>
      </c>
      <c r="F31" s="76">
        <v>0</v>
      </c>
      <c r="G31" s="75">
        <f t="shared" si="2"/>
        <v>0</v>
      </c>
      <c r="H31" s="76">
        <v>4.0000000000000001E-3</v>
      </c>
      <c r="I31" s="75">
        <f t="shared" si="3"/>
        <v>66026.647599999997</v>
      </c>
      <c r="J31" s="76">
        <f t="shared" si="5"/>
        <v>3.181</v>
      </c>
      <c r="K31" s="75">
        <f t="shared" si="1"/>
        <v>52507691.503900006</v>
      </c>
      <c r="L31" s="74"/>
      <c r="M31" s="74"/>
    </row>
    <row r="32" spans="1:13" x14ac:dyDescent="0.25">
      <c r="A32" t="s">
        <v>125</v>
      </c>
      <c r="B32" t="s">
        <v>94</v>
      </c>
      <c r="C32" s="75">
        <v>50093540</v>
      </c>
      <c r="D32" s="76">
        <v>1.75</v>
      </c>
      <c r="E32" s="75">
        <f t="shared" si="0"/>
        <v>87663.695000000007</v>
      </c>
      <c r="F32" s="76">
        <v>0</v>
      </c>
      <c r="G32" s="75">
        <f t="shared" si="2"/>
        <v>0</v>
      </c>
      <c r="H32" s="76">
        <v>0</v>
      </c>
      <c r="I32" s="75">
        <f t="shared" si="3"/>
        <v>0</v>
      </c>
      <c r="J32" s="76">
        <f t="shared" si="5"/>
        <v>1.75</v>
      </c>
      <c r="K32" s="75">
        <f t="shared" si="1"/>
        <v>87663.695000000007</v>
      </c>
      <c r="L32" s="74"/>
      <c r="M32" s="74"/>
    </row>
    <row r="33" spans="1:13" x14ac:dyDescent="0.25">
      <c r="A33" t="s">
        <v>103</v>
      </c>
      <c r="B33" t="s">
        <v>104</v>
      </c>
      <c r="C33" s="75">
        <v>241437370</v>
      </c>
      <c r="D33" s="76">
        <v>1.5</v>
      </c>
      <c r="E33" s="75">
        <f t="shared" si="0"/>
        <v>362156.05499999999</v>
      </c>
      <c r="F33" s="76">
        <v>0</v>
      </c>
      <c r="G33" s="75">
        <f t="shared" si="2"/>
        <v>0</v>
      </c>
      <c r="H33" s="76">
        <v>0</v>
      </c>
      <c r="I33" s="75">
        <f t="shared" si="3"/>
        <v>0</v>
      </c>
      <c r="J33" s="76">
        <f t="shared" si="5"/>
        <v>1.5</v>
      </c>
      <c r="K33" s="75">
        <f t="shared" si="1"/>
        <v>362156.05499999999</v>
      </c>
      <c r="L33" s="74"/>
      <c r="M33" s="74"/>
    </row>
    <row r="34" spans="1:13" x14ac:dyDescent="0.25">
      <c r="A34" t="s">
        <v>112</v>
      </c>
      <c r="B34" t="s">
        <v>98</v>
      </c>
      <c r="C34" s="75">
        <v>88632077</v>
      </c>
      <c r="D34" s="76">
        <v>1.4119999999999999</v>
      </c>
      <c r="E34" s="75">
        <f t="shared" si="0"/>
        <v>125148.49272399998</v>
      </c>
      <c r="F34" s="76">
        <v>0</v>
      </c>
      <c r="G34" s="75">
        <f t="shared" si="2"/>
        <v>0</v>
      </c>
      <c r="H34" s="76">
        <v>0</v>
      </c>
      <c r="I34" s="75">
        <f t="shared" si="3"/>
        <v>0</v>
      </c>
      <c r="J34" s="76">
        <f t="shared" si="5"/>
        <v>1.4119999999999999</v>
      </c>
      <c r="K34" s="75">
        <f t="shared" si="1"/>
        <v>125148.49272399998</v>
      </c>
      <c r="L34" s="74"/>
      <c r="M34" s="74"/>
    </row>
    <row r="35" spans="1:13" x14ac:dyDescent="0.25">
      <c r="A35" t="s">
        <v>99</v>
      </c>
      <c r="B35" t="s">
        <v>100</v>
      </c>
      <c r="C35" s="75">
        <v>11749630625</v>
      </c>
      <c r="D35" s="76">
        <v>0</v>
      </c>
      <c r="E35" s="75">
        <f t="shared" si="0"/>
        <v>0</v>
      </c>
      <c r="F35" s="76">
        <v>0</v>
      </c>
      <c r="G35" s="75">
        <f t="shared" si="2"/>
        <v>0</v>
      </c>
      <c r="H35" s="76">
        <v>4.5</v>
      </c>
      <c r="I35" s="75">
        <f t="shared" si="3"/>
        <v>52873337.8125</v>
      </c>
      <c r="J35" s="76">
        <f t="shared" si="5"/>
        <v>4.5</v>
      </c>
      <c r="K35" s="75">
        <f t="shared" si="1"/>
        <v>52873337.8125</v>
      </c>
      <c r="L35" s="74"/>
      <c r="M35" s="74"/>
    </row>
    <row r="36" spans="1:13" x14ac:dyDescent="0.25">
      <c r="A36" t="s">
        <v>83</v>
      </c>
      <c r="B36" t="s">
        <v>84</v>
      </c>
      <c r="C36" s="75">
        <v>110405036</v>
      </c>
      <c r="D36" s="76">
        <v>2</v>
      </c>
      <c r="E36" s="75">
        <f t="shared" si="0"/>
        <v>220810.07200000001</v>
      </c>
      <c r="F36" s="76">
        <v>0</v>
      </c>
      <c r="G36" s="75">
        <f t="shared" si="2"/>
        <v>0</v>
      </c>
      <c r="H36" s="76">
        <v>2E-3</v>
      </c>
      <c r="I36" s="75">
        <f t="shared" si="3"/>
        <v>220.81007200000002</v>
      </c>
      <c r="J36" s="76">
        <f t="shared" si="5"/>
        <v>2.0019999999999998</v>
      </c>
      <c r="K36" s="75">
        <f t="shared" si="1"/>
        <v>221030.88207200001</v>
      </c>
      <c r="L36" s="74"/>
      <c r="M36" s="74"/>
    </row>
    <row r="37" spans="1:13" x14ac:dyDescent="0.25">
      <c r="A37" t="s">
        <v>101</v>
      </c>
      <c r="B37" t="s">
        <v>102</v>
      </c>
      <c r="C37" s="75">
        <v>39590060</v>
      </c>
      <c r="D37" s="76">
        <v>1.5</v>
      </c>
      <c r="E37" s="75">
        <f t="shared" si="0"/>
        <v>59385.090000000004</v>
      </c>
      <c r="F37" s="76">
        <v>0</v>
      </c>
      <c r="G37" s="75">
        <f t="shared" si="2"/>
        <v>0</v>
      </c>
      <c r="H37" s="76">
        <v>0</v>
      </c>
      <c r="I37" s="75">
        <f t="shared" si="3"/>
        <v>0</v>
      </c>
      <c r="J37" s="76">
        <f t="shared" si="5"/>
        <v>1.5</v>
      </c>
      <c r="K37" s="75">
        <f t="shared" si="1"/>
        <v>59385.090000000004</v>
      </c>
      <c r="L37" s="74"/>
      <c r="M37" s="74"/>
    </row>
    <row r="38" spans="1:13" x14ac:dyDescent="0.25">
      <c r="A38" t="s">
        <v>95</v>
      </c>
      <c r="B38" t="s">
        <v>96</v>
      </c>
      <c r="C38" s="75">
        <v>33389183</v>
      </c>
      <c r="D38" s="76">
        <v>6.01</v>
      </c>
      <c r="E38" s="75">
        <f t="shared" ref="E38:E69" si="6">((D38/1000)*C38)</f>
        <v>200668.98982999998</v>
      </c>
      <c r="F38" s="76">
        <v>0</v>
      </c>
      <c r="G38" s="75">
        <f t="shared" si="2"/>
        <v>0</v>
      </c>
      <c r="H38" s="76">
        <v>6.0000000000000001E-3</v>
      </c>
      <c r="I38" s="75">
        <f t="shared" si="3"/>
        <v>200.33509799999999</v>
      </c>
      <c r="J38" s="76">
        <f t="shared" si="5"/>
        <v>6.016</v>
      </c>
      <c r="K38" s="75">
        <f t="shared" si="1"/>
        <v>200869.32492799999</v>
      </c>
      <c r="L38" s="74"/>
      <c r="M38" s="74"/>
    </row>
    <row r="39" spans="1:13" x14ac:dyDescent="0.25">
      <c r="A39" t="s">
        <v>54</v>
      </c>
      <c r="B39" t="s">
        <v>55</v>
      </c>
      <c r="C39" s="75">
        <v>73819470</v>
      </c>
      <c r="D39" s="76">
        <v>1.5</v>
      </c>
      <c r="E39" s="75">
        <f t="shared" si="6"/>
        <v>110729.205</v>
      </c>
      <c r="F39" s="76">
        <v>0</v>
      </c>
      <c r="G39" s="75">
        <f t="shared" si="2"/>
        <v>0</v>
      </c>
      <c r="H39" s="76">
        <v>0</v>
      </c>
      <c r="I39" s="75">
        <f t="shared" si="3"/>
        <v>0</v>
      </c>
      <c r="J39" s="76">
        <f t="shared" si="5"/>
        <v>1.5</v>
      </c>
      <c r="K39" s="75">
        <f t="shared" si="1"/>
        <v>110729.205</v>
      </c>
      <c r="L39" s="74"/>
      <c r="M39" s="74"/>
    </row>
    <row r="40" spans="1:13" x14ac:dyDescent="0.25">
      <c r="A40" t="s">
        <v>131</v>
      </c>
      <c r="B40" t="s">
        <v>132</v>
      </c>
      <c r="C40" s="75">
        <v>177790215</v>
      </c>
      <c r="D40" s="76">
        <v>0.25</v>
      </c>
      <c r="E40" s="75">
        <f t="shared" si="6"/>
        <v>44447.553749999999</v>
      </c>
      <c r="F40" s="76">
        <v>0</v>
      </c>
      <c r="G40" s="75">
        <f t="shared" si="2"/>
        <v>0</v>
      </c>
      <c r="H40" s="76">
        <v>0</v>
      </c>
      <c r="I40" s="75">
        <f t="shared" si="3"/>
        <v>0</v>
      </c>
      <c r="J40" s="76">
        <f t="shared" si="5"/>
        <v>0.25</v>
      </c>
      <c r="K40" s="75">
        <f t="shared" si="1"/>
        <v>44447.553749999999</v>
      </c>
      <c r="L40" s="74"/>
      <c r="M40" s="74"/>
    </row>
    <row r="41" spans="1:13" ht="16.149999999999999" customHeight="1" x14ac:dyDescent="0.25">
      <c r="A41" t="s">
        <v>118</v>
      </c>
      <c r="B41" t="s">
        <v>57</v>
      </c>
      <c r="C41" s="79">
        <v>83361813</v>
      </c>
      <c r="D41" s="76">
        <v>5.85</v>
      </c>
      <c r="E41" s="75">
        <f t="shared" si="6"/>
        <v>487666.60604999994</v>
      </c>
      <c r="F41" s="76">
        <v>0</v>
      </c>
      <c r="G41" s="75">
        <f t="shared" si="2"/>
        <v>0</v>
      </c>
      <c r="H41" s="76">
        <v>8.9999999999999993E-3</v>
      </c>
      <c r="I41" s="75">
        <f t="shared" si="3"/>
        <v>750.25631699999997</v>
      </c>
      <c r="J41" s="76">
        <f t="shared" si="5"/>
        <v>5.859</v>
      </c>
      <c r="K41" s="75">
        <f t="shared" si="1"/>
        <v>488416.86236699997</v>
      </c>
      <c r="L41" s="74"/>
      <c r="M41" s="74"/>
    </row>
    <row r="42" spans="1:13" x14ac:dyDescent="0.25">
      <c r="A42" t="s">
        <v>118</v>
      </c>
      <c r="B42" t="s">
        <v>119</v>
      </c>
      <c r="C42" s="75">
        <v>15454310</v>
      </c>
      <c r="D42" s="76">
        <v>5.85</v>
      </c>
      <c r="E42" s="75">
        <f t="shared" si="6"/>
        <v>90407.713499999983</v>
      </c>
      <c r="F42" s="76">
        <v>0</v>
      </c>
      <c r="G42" s="75">
        <f t="shared" si="2"/>
        <v>0</v>
      </c>
      <c r="H42" s="76">
        <v>8.9999999999999993E-3</v>
      </c>
      <c r="I42" s="75">
        <f t="shared" si="3"/>
        <v>139.08878999999999</v>
      </c>
      <c r="J42" s="76">
        <f t="shared" si="5"/>
        <v>5.859</v>
      </c>
      <c r="K42" s="75">
        <f t="shared" si="1"/>
        <v>90546.802289999978</v>
      </c>
      <c r="L42" s="74"/>
      <c r="M42" s="74"/>
    </row>
    <row r="43" spans="1:13" x14ac:dyDescent="0.25">
      <c r="A43" t="s">
        <v>3</v>
      </c>
      <c r="B43" t="s">
        <v>2</v>
      </c>
      <c r="C43" s="75">
        <v>51351730</v>
      </c>
      <c r="D43" s="76">
        <v>8</v>
      </c>
      <c r="E43" s="75">
        <f t="shared" si="6"/>
        <v>410813.84</v>
      </c>
      <c r="F43" s="76">
        <v>0</v>
      </c>
      <c r="G43" s="75">
        <f t="shared" si="2"/>
        <v>0</v>
      </c>
      <c r="H43" s="76">
        <v>8.3000000000000004E-2</v>
      </c>
      <c r="I43" s="75">
        <f t="shared" si="3"/>
        <v>4262.1935899999999</v>
      </c>
      <c r="J43" s="76">
        <f t="shared" si="5"/>
        <v>8.0830000000000002</v>
      </c>
      <c r="K43" s="75">
        <f t="shared" si="1"/>
        <v>415076.03359000001</v>
      </c>
      <c r="L43" s="74"/>
      <c r="M43" s="74"/>
    </row>
    <row r="44" spans="1:13" x14ac:dyDescent="0.25">
      <c r="A44" t="s">
        <v>16</v>
      </c>
      <c r="B44" t="s">
        <v>17</v>
      </c>
      <c r="C44" s="75">
        <v>560088190</v>
      </c>
      <c r="D44" s="76">
        <f>2.032-1.016</f>
        <v>1.016</v>
      </c>
      <c r="E44" s="75">
        <f t="shared" si="6"/>
        <v>569049.60103999998</v>
      </c>
      <c r="F44" s="76">
        <v>0</v>
      </c>
      <c r="G44" s="75">
        <f t="shared" si="2"/>
        <v>0</v>
      </c>
      <c r="H44" s="76">
        <v>0</v>
      </c>
      <c r="I44" s="75">
        <f t="shared" si="3"/>
        <v>0</v>
      </c>
      <c r="J44" s="76">
        <f t="shared" si="5"/>
        <v>1.016</v>
      </c>
      <c r="K44" s="75">
        <f t="shared" si="1"/>
        <v>569049.60103999998</v>
      </c>
      <c r="L44" s="74"/>
      <c r="M44" s="74"/>
    </row>
    <row r="45" spans="1:13" x14ac:dyDescent="0.25">
      <c r="A45" t="s">
        <v>110</v>
      </c>
      <c r="B45" t="s">
        <v>0</v>
      </c>
      <c r="C45" s="75">
        <v>2379473920</v>
      </c>
      <c r="D45" s="76">
        <v>3</v>
      </c>
      <c r="E45" s="75">
        <f t="shared" si="6"/>
        <v>7138421.7599999998</v>
      </c>
      <c r="F45" s="76">
        <v>0</v>
      </c>
      <c r="G45" s="75">
        <f t="shared" si="2"/>
        <v>0</v>
      </c>
      <c r="H45" s="76">
        <v>1.4E-2</v>
      </c>
      <c r="I45" s="75">
        <f t="shared" si="3"/>
        <v>33312.634879999998</v>
      </c>
      <c r="J45" s="76">
        <f t="shared" si="5"/>
        <v>3.0139999999999998</v>
      </c>
      <c r="K45" s="75">
        <f t="shared" si="1"/>
        <v>7171734.3948799996</v>
      </c>
      <c r="L45" s="74"/>
      <c r="M45" s="74"/>
    </row>
    <row r="46" spans="1:13" x14ac:dyDescent="0.25">
      <c r="A46" t="s">
        <v>5</v>
      </c>
      <c r="B46" t="s">
        <v>4</v>
      </c>
      <c r="C46" s="75">
        <v>667424179</v>
      </c>
      <c r="D46" s="76">
        <v>3.85</v>
      </c>
      <c r="E46" s="75">
        <f t="shared" si="6"/>
        <v>2569583.0891499999</v>
      </c>
      <c r="F46" s="76">
        <v>0</v>
      </c>
      <c r="G46" s="75">
        <f t="shared" si="2"/>
        <v>0</v>
      </c>
      <c r="H46" s="76">
        <v>0</v>
      </c>
      <c r="I46" s="75">
        <f t="shared" si="3"/>
        <v>0</v>
      </c>
      <c r="J46" s="76">
        <f t="shared" si="5"/>
        <v>3.85</v>
      </c>
      <c r="K46" s="75">
        <f t="shared" si="1"/>
        <v>2569583.0891499999</v>
      </c>
      <c r="L46" s="74"/>
      <c r="M46" s="74"/>
    </row>
    <row r="47" spans="1:13" x14ac:dyDescent="0.25">
      <c r="A47" t="s">
        <v>58</v>
      </c>
      <c r="B47" t="s">
        <v>57</v>
      </c>
      <c r="C47" s="75">
        <v>96973182</v>
      </c>
      <c r="D47" s="76">
        <v>4.4000000000000004</v>
      </c>
      <c r="E47" s="75">
        <f t="shared" si="6"/>
        <v>426682.00080000004</v>
      </c>
      <c r="F47" s="76">
        <v>1.427</v>
      </c>
      <c r="G47" s="75">
        <f t="shared" si="2"/>
        <v>138380.730714</v>
      </c>
      <c r="H47" s="76">
        <v>0</v>
      </c>
      <c r="I47" s="75">
        <f t="shared" si="3"/>
        <v>0</v>
      </c>
      <c r="J47" s="76">
        <f t="shared" si="5"/>
        <v>5.827</v>
      </c>
      <c r="K47" s="75">
        <f t="shared" si="1"/>
        <v>565062.7315140001</v>
      </c>
      <c r="L47" s="74"/>
      <c r="M47" s="74"/>
    </row>
    <row r="48" spans="1:13" x14ac:dyDescent="0.25">
      <c r="A48" t="s">
        <v>136</v>
      </c>
      <c r="B48" t="s">
        <v>135</v>
      </c>
      <c r="C48" s="75">
        <v>134535</v>
      </c>
      <c r="D48" s="76">
        <v>0</v>
      </c>
      <c r="E48" s="75">
        <f t="shared" si="6"/>
        <v>0</v>
      </c>
      <c r="F48" s="76">
        <v>1.427</v>
      </c>
      <c r="G48" s="75">
        <f t="shared" si="2"/>
        <v>191.98144500000001</v>
      </c>
      <c r="H48" s="76">
        <v>0</v>
      </c>
      <c r="I48" s="75">
        <f t="shared" si="3"/>
        <v>0</v>
      </c>
      <c r="J48" s="76">
        <v>1.427</v>
      </c>
      <c r="K48" s="75">
        <f t="shared" si="1"/>
        <v>191.98144500000001</v>
      </c>
      <c r="L48" s="74"/>
      <c r="M48" s="74"/>
    </row>
    <row r="49" spans="1:13" x14ac:dyDescent="0.25">
      <c r="A49" t="s">
        <v>59</v>
      </c>
      <c r="B49" t="s">
        <v>60</v>
      </c>
      <c r="C49" s="75">
        <v>285376860</v>
      </c>
      <c r="D49" s="76">
        <v>2.5</v>
      </c>
      <c r="E49" s="75">
        <f t="shared" si="6"/>
        <v>713442.15</v>
      </c>
      <c r="F49" s="76">
        <v>0</v>
      </c>
      <c r="G49" s="75">
        <f t="shared" si="2"/>
        <v>0</v>
      </c>
      <c r="H49" s="76">
        <v>0</v>
      </c>
      <c r="I49" s="75">
        <f t="shared" si="3"/>
        <v>0</v>
      </c>
      <c r="J49" s="76">
        <f t="shared" ref="J49:J62" si="7">D49+F49+H49</f>
        <v>2.5</v>
      </c>
      <c r="K49" s="75">
        <f t="shared" si="1"/>
        <v>713442.15</v>
      </c>
      <c r="L49" s="74"/>
      <c r="M49" s="74"/>
    </row>
    <row r="50" spans="1:13" x14ac:dyDescent="0.25">
      <c r="A50" t="s">
        <v>133</v>
      </c>
      <c r="B50" t="s">
        <v>134</v>
      </c>
      <c r="C50" s="75">
        <v>59960403</v>
      </c>
      <c r="D50" s="76">
        <v>5.0999999999999996</v>
      </c>
      <c r="E50" s="75">
        <f t="shared" si="6"/>
        <v>305798.05529999995</v>
      </c>
      <c r="F50" s="76">
        <v>0</v>
      </c>
      <c r="G50" s="75">
        <f t="shared" si="2"/>
        <v>0</v>
      </c>
      <c r="H50" s="76">
        <v>0</v>
      </c>
      <c r="I50" s="75">
        <f t="shared" si="3"/>
        <v>0</v>
      </c>
      <c r="J50" s="76">
        <f t="shared" si="7"/>
        <v>5.0999999999999996</v>
      </c>
      <c r="K50" s="75">
        <f t="shared" si="1"/>
        <v>305798.05529999995</v>
      </c>
      <c r="L50" s="74"/>
      <c r="M50" s="74"/>
    </row>
    <row r="51" spans="1:13" x14ac:dyDescent="0.25">
      <c r="A51" t="s">
        <v>122</v>
      </c>
      <c r="B51" t="s">
        <v>8</v>
      </c>
      <c r="C51" s="75">
        <v>71813890</v>
      </c>
      <c r="D51" s="76">
        <v>1.524</v>
      </c>
      <c r="E51" s="75">
        <f t="shared" si="6"/>
        <v>109444.36835999999</v>
      </c>
      <c r="F51" s="76">
        <v>0</v>
      </c>
      <c r="G51" s="75">
        <f t="shared" si="2"/>
        <v>0</v>
      </c>
      <c r="H51" s="76">
        <v>0</v>
      </c>
      <c r="I51" s="75">
        <f t="shared" si="3"/>
        <v>0</v>
      </c>
      <c r="J51" s="76">
        <f t="shared" si="7"/>
        <v>1.524</v>
      </c>
      <c r="K51" s="75">
        <f t="shared" si="1"/>
        <v>109444.36835999999</v>
      </c>
      <c r="L51" s="74"/>
      <c r="M51" s="74"/>
    </row>
    <row r="52" spans="1:13" ht="14.25" customHeight="1" x14ac:dyDescent="0.25">
      <c r="A52" t="s">
        <v>85</v>
      </c>
      <c r="B52" t="s">
        <v>84</v>
      </c>
      <c r="C52" s="75">
        <v>41484497</v>
      </c>
      <c r="D52" s="76">
        <v>5.508</v>
      </c>
      <c r="E52" s="75">
        <f t="shared" si="6"/>
        <v>228496.60947599998</v>
      </c>
      <c r="F52" s="76">
        <v>0</v>
      </c>
      <c r="G52" s="75">
        <f t="shared" si="2"/>
        <v>0</v>
      </c>
      <c r="H52" s="76">
        <v>0</v>
      </c>
      <c r="I52" s="75">
        <f t="shared" si="3"/>
        <v>0</v>
      </c>
      <c r="J52" s="76">
        <f t="shared" si="7"/>
        <v>5.508</v>
      </c>
      <c r="K52" s="75">
        <f t="shared" si="1"/>
        <v>228496.60947599998</v>
      </c>
      <c r="L52" s="74"/>
      <c r="M52" s="74"/>
    </row>
    <row r="53" spans="1:13" x14ac:dyDescent="0.25">
      <c r="A53" t="s">
        <v>81</v>
      </c>
      <c r="B53" t="s">
        <v>82</v>
      </c>
      <c r="C53" s="75">
        <v>9750080380</v>
      </c>
      <c r="D53" s="76">
        <v>3.4940000000000002</v>
      </c>
      <c r="E53" s="75">
        <f t="shared" si="6"/>
        <v>34066780.847720005</v>
      </c>
      <c r="F53" s="76">
        <v>0</v>
      </c>
      <c r="G53" s="75">
        <f t="shared" si="2"/>
        <v>0</v>
      </c>
      <c r="H53" s="76">
        <v>1.7999999999999999E-2</v>
      </c>
      <c r="I53" s="75">
        <f t="shared" si="3"/>
        <v>175501.44683999996</v>
      </c>
      <c r="J53" s="76">
        <f t="shared" si="7"/>
        <v>3.512</v>
      </c>
      <c r="K53" s="75">
        <f t="shared" si="1"/>
        <v>34242282.294560008</v>
      </c>
      <c r="L53" s="74"/>
      <c r="M53" s="74"/>
    </row>
    <row r="54" spans="1:13" x14ac:dyDescent="0.25">
      <c r="A54" t="s">
        <v>105</v>
      </c>
      <c r="B54" t="s">
        <v>104</v>
      </c>
      <c r="C54" s="75">
        <v>218394060</v>
      </c>
      <c r="D54" s="76">
        <v>4</v>
      </c>
      <c r="E54" s="75">
        <f t="shared" si="6"/>
        <v>873576.24</v>
      </c>
      <c r="F54" s="76">
        <v>0</v>
      </c>
      <c r="G54" s="75">
        <f t="shared" si="2"/>
        <v>0</v>
      </c>
      <c r="H54" s="76">
        <v>0</v>
      </c>
      <c r="I54" s="75">
        <f t="shared" si="3"/>
        <v>0</v>
      </c>
      <c r="J54" s="76">
        <f t="shared" si="7"/>
        <v>4</v>
      </c>
      <c r="K54" s="75">
        <f t="shared" si="1"/>
        <v>873576.24</v>
      </c>
      <c r="L54" s="74"/>
      <c r="M54" s="74"/>
    </row>
    <row r="55" spans="1:13" x14ac:dyDescent="0.25">
      <c r="A55" t="s">
        <v>11</v>
      </c>
      <c r="B55" t="s">
        <v>10</v>
      </c>
      <c r="C55" s="75">
        <v>3496516270</v>
      </c>
      <c r="D55" s="76">
        <f>1.625-0.217</f>
        <v>1.4079999999999999</v>
      </c>
      <c r="E55" s="75">
        <f t="shared" si="6"/>
        <v>4923094.9081600001</v>
      </c>
      <c r="F55" s="76">
        <v>0</v>
      </c>
      <c r="G55" s="75">
        <f t="shared" si="2"/>
        <v>0</v>
      </c>
      <c r="H55" s="76">
        <v>3.0000000000000001E-3</v>
      </c>
      <c r="I55" s="75">
        <f t="shared" si="3"/>
        <v>10489.54881</v>
      </c>
      <c r="J55" s="76">
        <f t="shared" si="7"/>
        <v>1.4109999999999998</v>
      </c>
      <c r="K55" s="75">
        <f t="shared" si="1"/>
        <v>4933584.4569699997</v>
      </c>
      <c r="L55" s="74"/>
      <c r="M55" s="74"/>
    </row>
    <row r="56" spans="1:13" x14ac:dyDescent="0.25">
      <c r="A56" t="s">
        <v>35</v>
      </c>
      <c r="B56" t="s">
        <v>107</v>
      </c>
      <c r="C56" s="75">
        <v>4015071050</v>
      </c>
      <c r="D56" s="76">
        <v>3</v>
      </c>
      <c r="E56" s="75">
        <f t="shared" si="6"/>
        <v>12045213.15</v>
      </c>
      <c r="F56" s="76">
        <v>0</v>
      </c>
      <c r="G56" s="75">
        <f t="shared" si="2"/>
        <v>0</v>
      </c>
      <c r="H56" s="76">
        <v>1.7999999999999999E-2</v>
      </c>
      <c r="I56" s="75">
        <f t="shared" si="3"/>
        <v>72271.27889999999</v>
      </c>
      <c r="J56" s="76">
        <f t="shared" si="7"/>
        <v>3.0179999999999998</v>
      </c>
      <c r="K56" s="75">
        <f t="shared" si="1"/>
        <v>12117484.4289</v>
      </c>
      <c r="L56" s="74"/>
      <c r="M56" s="74"/>
    </row>
    <row r="57" spans="1:13" x14ac:dyDescent="0.25">
      <c r="A57" t="s">
        <v>12</v>
      </c>
      <c r="B57" t="s">
        <v>13</v>
      </c>
      <c r="C57" s="75">
        <v>153607278</v>
      </c>
      <c r="D57" s="76">
        <v>0</v>
      </c>
      <c r="E57" s="75">
        <f t="shared" si="6"/>
        <v>0</v>
      </c>
      <c r="F57" s="76">
        <v>0</v>
      </c>
      <c r="G57" s="75">
        <f t="shared" si="2"/>
        <v>0</v>
      </c>
      <c r="H57" s="76">
        <v>0</v>
      </c>
      <c r="I57" s="75">
        <f t="shared" si="3"/>
        <v>0</v>
      </c>
      <c r="J57" s="76">
        <f t="shared" si="7"/>
        <v>0</v>
      </c>
      <c r="K57" s="75">
        <f t="shared" si="1"/>
        <v>0</v>
      </c>
      <c r="L57" s="74"/>
      <c r="M57" s="74"/>
    </row>
    <row r="58" spans="1:13" x14ac:dyDescent="0.25">
      <c r="A58" t="s">
        <v>14</v>
      </c>
      <c r="B58" t="s">
        <v>15</v>
      </c>
      <c r="C58" s="75">
        <v>2134744544</v>
      </c>
      <c r="D58" s="76">
        <v>5.85</v>
      </c>
      <c r="E58" s="75">
        <f t="shared" si="6"/>
        <v>12488255.582399998</v>
      </c>
      <c r="F58" s="76">
        <v>0</v>
      </c>
      <c r="G58" s="75">
        <f t="shared" si="2"/>
        <v>0</v>
      </c>
      <c r="H58" s="76">
        <f>0.009+0.085</f>
        <v>9.4E-2</v>
      </c>
      <c r="I58" s="75">
        <f t="shared" si="3"/>
        <v>200665.98713600001</v>
      </c>
      <c r="J58" s="76">
        <f t="shared" si="7"/>
        <v>5.944</v>
      </c>
      <c r="K58" s="75">
        <f t="shared" si="1"/>
        <v>12688921.569535999</v>
      </c>
      <c r="L58" s="74"/>
      <c r="M58" s="74"/>
    </row>
    <row r="59" spans="1:13" x14ac:dyDescent="0.25">
      <c r="A59" t="s">
        <v>28</v>
      </c>
      <c r="B59" t="s">
        <v>29</v>
      </c>
      <c r="C59" s="75">
        <v>329857470</v>
      </c>
      <c r="D59" s="76">
        <v>4.1189999999999998</v>
      </c>
      <c r="E59" s="75">
        <f t="shared" si="6"/>
        <v>1358682.9189299997</v>
      </c>
      <c r="F59" s="76">
        <v>0</v>
      </c>
      <c r="G59" s="75">
        <f t="shared" si="2"/>
        <v>0</v>
      </c>
      <c r="H59" s="76">
        <v>0</v>
      </c>
      <c r="I59" s="75">
        <f t="shared" si="3"/>
        <v>0</v>
      </c>
      <c r="J59" s="76">
        <f t="shared" si="7"/>
        <v>4.1189999999999998</v>
      </c>
      <c r="K59" s="75">
        <f t="shared" si="1"/>
        <v>1358682.9189299997</v>
      </c>
      <c r="L59" s="74"/>
      <c r="M59" s="74"/>
    </row>
    <row r="60" spans="1:13" x14ac:dyDescent="0.25">
      <c r="A60" t="s">
        <v>18</v>
      </c>
      <c r="B60" t="s">
        <v>17</v>
      </c>
      <c r="C60" s="75">
        <v>274192770</v>
      </c>
      <c r="D60" s="76">
        <v>0.5</v>
      </c>
      <c r="E60" s="75">
        <f t="shared" si="6"/>
        <v>137096.38500000001</v>
      </c>
      <c r="F60" s="76">
        <v>0</v>
      </c>
      <c r="G60" s="75">
        <f t="shared" si="2"/>
        <v>0</v>
      </c>
      <c r="H60" s="76">
        <v>0</v>
      </c>
      <c r="I60" s="75">
        <f t="shared" si="3"/>
        <v>0</v>
      </c>
      <c r="J60" s="76">
        <f t="shared" si="7"/>
        <v>0.5</v>
      </c>
      <c r="K60" s="75">
        <f t="shared" si="1"/>
        <v>137096.38500000001</v>
      </c>
      <c r="L60" s="74"/>
      <c r="M60" s="74"/>
    </row>
    <row r="61" spans="1:13" x14ac:dyDescent="0.25">
      <c r="A61" t="s">
        <v>50</v>
      </c>
      <c r="B61" t="s">
        <v>49</v>
      </c>
      <c r="C61" s="75">
        <v>7517362920</v>
      </c>
      <c r="D61" s="76">
        <v>3.6469999999999998</v>
      </c>
      <c r="E61" s="75">
        <f t="shared" si="6"/>
        <v>27415822.569239996</v>
      </c>
      <c r="F61" s="76">
        <v>0</v>
      </c>
      <c r="G61" s="75">
        <f t="shared" si="2"/>
        <v>0</v>
      </c>
      <c r="H61" s="76">
        <v>0.03</v>
      </c>
      <c r="I61" s="75">
        <f t="shared" si="3"/>
        <v>225520.88759999999</v>
      </c>
      <c r="J61" s="76">
        <f t="shared" si="7"/>
        <v>3.6769999999999996</v>
      </c>
      <c r="K61" s="75">
        <f t="shared" si="1"/>
        <v>27641343.456839997</v>
      </c>
      <c r="L61" s="74"/>
      <c r="M61" s="74"/>
    </row>
    <row r="62" spans="1:13" x14ac:dyDescent="0.25">
      <c r="A62" t="s">
        <v>109</v>
      </c>
      <c r="B62" t="s">
        <v>107</v>
      </c>
      <c r="C62" s="75">
        <v>76266478</v>
      </c>
      <c r="D62" s="76">
        <v>4.75</v>
      </c>
      <c r="E62" s="75">
        <f t="shared" si="6"/>
        <v>362265.77049999998</v>
      </c>
      <c r="F62" s="76">
        <v>0</v>
      </c>
      <c r="G62" s="75">
        <f t="shared" si="2"/>
        <v>0</v>
      </c>
      <c r="H62" s="76">
        <v>0</v>
      </c>
      <c r="I62" s="75">
        <f t="shared" si="3"/>
        <v>0</v>
      </c>
      <c r="J62" s="76">
        <f t="shared" si="7"/>
        <v>4.75</v>
      </c>
      <c r="K62" s="75">
        <f t="shared" si="1"/>
        <v>362265.77049999998</v>
      </c>
      <c r="L62" s="74"/>
      <c r="M62" s="74"/>
    </row>
    <row r="63" spans="1:13" x14ac:dyDescent="0.25">
      <c r="A63" t="s">
        <v>9</v>
      </c>
      <c r="B63" t="s">
        <v>8</v>
      </c>
      <c r="C63" s="75">
        <v>126328260</v>
      </c>
      <c r="D63" s="76">
        <v>2.8</v>
      </c>
      <c r="E63" s="75">
        <f t="shared" si="6"/>
        <v>353719.12799999997</v>
      </c>
      <c r="F63" s="76">
        <v>0</v>
      </c>
      <c r="G63" s="75">
        <f t="shared" si="2"/>
        <v>0</v>
      </c>
      <c r="H63" s="76">
        <v>3.0000000000000001E-3</v>
      </c>
      <c r="I63" s="75">
        <f t="shared" si="3"/>
        <v>378.98478</v>
      </c>
      <c r="J63" s="76">
        <v>2.8029999999999999</v>
      </c>
      <c r="K63" s="75">
        <f t="shared" si="1"/>
        <v>354098.11277999997</v>
      </c>
      <c r="L63" s="74"/>
      <c r="M63" s="74"/>
    </row>
    <row r="64" spans="1:13" x14ac:dyDescent="0.25">
      <c r="A64" t="s">
        <v>19</v>
      </c>
      <c r="B64" t="s">
        <v>20</v>
      </c>
      <c r="C64" s="75">
        <v>213821684</v>
      </c>
      <c r="D64" s="76">
        <v>1.5</v>
      </c>
      <c r="E64" s="75">
        <f t="shared" si="6"/>
        <v>320732.52600000001</v>
      </c>
      <c r="F64" s="76">
        <v>0</v>
      </c>
      <c r="G64" s="75">
        <f t="shared" si="2"/>
        <v>0</v>
      </c>
      <c r="H64" s="76">
        <v>0</v>
      </c>
      <c r="I64" s="75">
        <f t="shared" si="3"/>
        <v>0</v>
      </c>
      <c r="J64" s="76">
        <f t="shared" ref="J64:J72" si="8">D64+F64+H64</f>
        <v>1.5</v>
      </c>
      <c r="K64" s="75">
        <f t="shared" si="1"/>
        <v>320732.52600000001</v>
      </c>
      <c r="L64" s="74"/>
      <c r="M64" s="74"/>
    </row>
    <row r="65" spans="1:13" x14ac:dyDescent="0.25">
      <c r="A65" t="s">
        <v>127</v>
      </c>
      <c r="B65" t="s">
        <v>60</v>
      </c>
      <c r="C65" s="75">
        <v>338728740</v>
      </c>
      <c r="D65" s="76">
        <v>3.5</v>
      </c>
      <c r="E65" s="75">
        <f t="shared" si="6"/>
        <v>1185550.5900000001</v>
      </c>
      <c r="F65" s="76">
        <v>0</v>
      </c>
      <c r="G65" s="75">
        <f t="shared" si="2"/>
        <v>0</v>
      </c>
      <c r="H65" s="76">
        <v>3.0000000000000001E-3</v>
      </c>
      <c r="I65" s="75">
        <f t="shared" si="3"/>
        <v>1016.1862199999999</v>
      </c>
      <c r="J65" s="76">
        <f t="shared" si="8"/>
        <v>3.5030000000000001</v>
      </c>
      <c r="K65" s="75">
        <f t="shared" si="1"/>
        <v>1186566.7762200001</v>
      </c>
      <c r="L65" s="74"/>
      <c r="M65" s="74"/>
    </row>
    <row r="66" spans="1:13" x14ac:dyDescent="0.25">
      <c r="A66" t="s">
        <v>30</v>
      </c>
      <c r="B66" t="s">
        <v>29</v>
      </c>
      <c r="C66" s="75">
        <v>368193670</v>
      </c>
      <c r="D66" s="76">
        <v>0.57299999999999995</v>
      </c>
      <c r="E66" s="75">
        <f t="shared" si="6"/>
        <v>210974.97290999998</v>
      </c>
      <c r="F66" s="76">
        <v>0</v>
      </c>
      <c r="G66" s="75">
        <f t="shared" si="2"/>
        <v>0</v>
      </c>
      <c r="H66" s="76">
        <v>0</v>
      </c>
      <c r="I66" s="75">
        <f t="shared" si="3"/>
        <v>0</v>
      </c>
      <c r="J66" s="76">
        <f t="shared" si="8"/>
        <v>0.57299999999999995</v>
      </c>
      <c r="K66" s="75">
        <f t="shared" si="1"/>
        <v>210974.97290999998</v>
      </c>
      <c r="L66" s="74"/>
      <c r="M66" s="74"/>
    </row>
    <row r="67" spans="1:13" x14ac:dyDescent="0.25">
      <c r="A67" t="s">
        <v>114</v>
      </c>
      <c r="B67" t="s">
        <v>25</v>
      </c>
      <c r="C67" s="75">
        <v>914809044</v>
      </c>
      <c r="D67" s="76">
        <v>3.6280000000000001</v>
      </c>
      <c r="E67" s="75">
        <f t="shared" si="6"/>
        <v>3318927.2116320003</v>
      </c>
      <c r="F67" s="76">
        <v>0</v>
      </c>
      <c r="G67" s="75">
        <f t="shared" si="2"/>
        <v>0</v>
      </c>
      <c r="H67" s="76">
        <v>0.01</v>
      </c>
      <c r="I67" s="75">
        <f t="shared" si="3"/>
        <v>9148.0904399999999</v>
      </c>
      <c r="J67" s="76">
        <f t="shared" si="8"/>
        <v>3.6379999999999999</v>
      </c>
      <c r="K67" s="75">
        <f t="shared" si="1"/>
        <v>3328075.3020720002</v>
      </c>
      <c r="L67" s="74"/>
      <c r="M67" s="74"/>
    </row>
    <row r="68" spans="1:13" x14ac:dyDescent="0.25">
      <c r="A68" t="s">
        <v>113</v>
      </c>
      <c r="B68" t="s">
        <v>25</v>
      </c>
      <c r="C68" s="75">
        <v>42857084</v>
      </c>
      <c r="D68" s="76">
        <v>10.428000000000001</v>
      </c>
      <c r="E68" s="75">
        <f t="shared" si="6"/>
        <v>446913.67195200006</v>
      </c>
      <c r="F68" s="76">
        <v>0</v>
      </c>
      <c r="G68" s="75">
        <f t="shared" si="2"/>
        <v>0</v>
      </c>
      <c r="H68" s="76">
        <v>0</v>
      </c>
      <c r="I68" s="75">
        <f t="shared" si="3"/>
        <v>0</v>
      </c>
      <c r="J68" s="76">
        <f t="shared" si="8"/>
        <v>10.428000000000001</v>
      </c>
      <c r="K68" s="75">
        <f t="shared" si="1"/>
        <v>446913.67195200006</v>
      </c>
      <c r="L68" s="74"/>
      <c r="M68" s="74"/>
    </row>
    <row r="69" spans="1:13" x14ac:dyDescent="0.25">
      <c r="A69" t="s">
        <v>23</v>
      </c>
      <c r="B69" t="s">
        <v>22</v>
      </c>
      <c r="C69" s="75">
        <v>99637300</v>
      </c>
      <c r="D69" s="76">
        <v>1.125</v>
      </c>
      <c r="E69" s="75">
        <f t="shared" si="6"/>
        <v>112091.96249999999</v>
      </c>
      <c r="F69" s="76">
        <v>0</v>
      </c>
      <c r="G69" s="75">
        <f t="shared" si="2"/>
        <v>0</v>
      </c>
      <c r="H69" s="76">
        <v>0</v>
      </c>
      <c r="I69" s="75">
        <f t="shared" si="3"/>
        <v>0</v>
      </c>
      <c r="J69" s="76">
        <f t="shared" si="8"/>
        <v>1.125</v>
      </c>
      <c r="K69" s="75">
        <f t="shared" si="1"/>
        <v>112091.96249999999</v>
      </c>
      <c r="L69" s="74"/>
      <c r="M69" s="74"/>
    </row>
    <row r="70" spans="1:13" x14ac:dyDescent="0.25">
      <c r="A70" t="s">
        <v>129</v>
      </c>
      <c r="B70" t="s">
        <v>130</v>
      </c>
      <c r="C70" s="75">
        <v>280177320</v>
      </c>
      <c r="D70" s="76">
        <v>1.5</v>
      </c>
      <c r="E70" s="75">
        <f t="shared" ref="E70:E72" si="9">((D70/1000)*C70)</f>
        <v>420265.98</v>
      </c>
      <c r="F70" s="76">
        <v>0</v>
      </c>
      <c r="G70" s="75">
        <f t="shared" si="2"/>
        <v>0</v>
      </c>
      <c r="H70" s="76">
        <v>0</v>
      </c>
      <c r="I70" s="75">
        <f t="shared" si="3"/>
        <v>0</v>
      </c>
      <c r="J70" s="76">
        <f t="shared" si="8"/>
        <v>1.5</v>
      </c>
      <c r="K70" s="75">
        <f t="shared" ref="K70:K75" si="10">E70+G70+I70</f>
        <v>420265.98</v>
      </c>
      <c r="L70" s="74"/>
      <c r="M70" s="74"/>
    </row>
    <row r="71" spans="1:13" x14ac:dyDescent="0.25">
      <c r="A71" t="s">
        <v>97</v>
      </c>
      <c r="B71" t="s">
        <v>96</v>
      </c>
      <c r="C71" s="75">
        <v>112754331</v>
      </c>
      <c r="D71" s="76">
        <v>2.08</v>
      </c>
      <c r="E71" s="75">
        <f t="shared" si="9"/>
        <v>234529.00848000002</v>
      </c>
      <c r="F71" s="76">
        <v>2.02</v>
      </c>
      <c r="G71" s="75">
        <f t="shared" ref="G71:G75" si="11">C71*F71/1000</f>
        <v>227763.74862</v>
      </c>
      <c r="H71" s="76">
        <v>8.0000000000000002E-3</v>
      </c>
      <c r="I71" s="75">
        <f t="shared" si="3"/>
        <v>902.03464800000006</v>
      </c>
      <c r="J71" s="76">
        <f t="shared" si="8"/>
        <v>4.1079999999999997</v>
      </c>
      <c r="K71" s="75">
        <f t="shared" si="10"/>
        <v>463194.79174800002</v>
      </c>
      <c r="L71" s="74"/>
      <c r="M71" s="74"/>
    </row>
    <row r="72" spans="1:13" x14ac:dyDescent="0.25">
      <c r="A72" t="s">
        <v>26</v>
      </c>
      <c r="B72" t="s">
        <v>27</v>
      </c>
      <c r="C72" s="75">
        <v>2418329560</v>
      </c>
      <c r="D72" s="76">
        <v>0.91</v>
      </c>
      <c r="E72" s="75">
        <f t="shared" si="9"/>
        <v>2200679.8996000001</v>
      </c>
      <c r="F72" s="76">
        <v>0</v>
      </c>
      <c r="G72" s="75">
        <f t="shared" si="11"/>
        <v>0</v>
      </c>
      <c r="H72" s="76">
        <v>0</v>
      </c>
      <c r="I72" s="75">
        <f t="shared" si="3"/>
        <v>0</v>
      </c>
      <c r="J72" s="76">
        <f t="shared" si="8"/>
        <v>0.91</v>
      </c>
      <c r="K72" s="75">
        <f t="shared" si="10"/>
        <v>2200679.8996000001</v>
      </c>
      <c r="L72" s="74"/>
      <c r="M72" s="74"/>
    </row>
    <row r="73" spans="1:13" x14ac:dyDescent="0.25">
      <c r="A73" t="s">
        <v>52</v>
      </c>
      <c r="B73" t="s">
        <v>53</v>
      </c>
      <c r="C73" s="75">
        <v>399020330</v>
      </c>
      <c r="D73" s="76">
        <v>1.5</v>
      </c>
      <c r="E73" s="75">
        <f>((D73/1000)*C73)</f>
        <v>598530.495</v>
      </c>
      <c r="F73" s="76">
        <v>0</v>
      </c>
      <c r="G73" s="75">
        <f t="shared" si="11"/>
        <v>0</v>
      </c>
      <c r="H73" s="76">
        <v>5.0000000000000001E-3</v>
      </c>
      <c r="I73" s="75">
        <f t="shared" ref="I73:I75" si="12">C73*H73/1000</f>
        <v>1995.1016500000001</v>
      </c>
      <c r="J73" s="76">
        <f>D73+F73+H73</f>
        <v>1.5049999999999999</v>
      </c>
      <c r="K73" s="75">
        <f t="shared" si="10"/>
        <v>600525.59664999996</v>
      </c>
      <c r="L73" s="74"/>
      <c r="M73" s="74"/>
    </row>
    <row r="74" spans="1:13" x14ac:dyDescent="0.25">
      <c r="A74" t="s">
        <v>69</v>
      </c>
      <c r="B74" t="s">
        <v>70</v>
      </c>
      <c r="C74" s="75">
        <v>115981110</v>
      </c>
      <c r="D74" s="76">
        <v>1.9830000000000001</v>
      </c>
      <c r="E74" s="75">
        <f>((D74/1000)*C74)</f>
        <v>229990.54113</v>
      </c>
      <c r="F74" s="76">
        <v>0</v>
      </c>
      <c r="G74" s="75">
        <f t="shared" si="11"/>
        <v>0</v>
      </c>
      <c r="H74" s="76">
        <v>0</v>
      </c>
      <c r="I74" s="75">
        <f t="shared" si="12"/>
        <v>0</v>
      </c>
      <c r="J74" s="76">
        <f>D74+F74+H74</f>
        <v>1.9830000000000001</v>
      </c>
      <c r="K74" s="75">
        <f t="shared" si="10"/>
        <v>229990.54113</v>
      </c>
      <c r="L74" s="74"/>
      <c r="M74" s="74"/>
    </row>
    <row r="75" spans="1:13" x14ac:dyDescent="0.25">
      <c r="A75" t="s">
        <v>24</v>
      </c>
      <c r="B75" t="s">
        <v>22</v>
      </c>
      <c r="C75" s="75">
        <v>131076800</v>
      </c>
      <c r="D75" s="76">
        <v>1.7110000000000001</v>
      </c>
      <c r="E75" s="75">
        <f>((D75/1000)*C75)</f>
        <v>224272.40480000002</v>
      </c>
      <c r="F75" s="76">
        <v>0</v>
      </c>
      <c r="G75" s="75">
        <f t="shared" si="11"/>
        <v>0</v>
      </c>
      <c r="H75" s="76">
        <v>0</v>
      </c>
      <c r="I75" s="75">
        <f t="shared" si="12"/>
        <v>0</v>
      </c>
      <c r="J75" s="76">
        <f>D75+F75+H75</f>
        <v>1.7110000000000001</v>
      </c>
      <c r="K75" s="75">
        <f t="shared" si="10"/>
        <v>224272.40480000002</v>
      </c>
      <c r="L75" s="74"/>
      <c r="M75" s="74"/>
    </row>
    <row r="76" spans="1:13" x14ac:dyDescent="0.25"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</row>
    <row r="77" spans="1:13" x14ac:dyDescent="0.25">
      <c r="C77"/>
      <c r="D77"/>
      <c r="E77"/>
      <c r="F77"/>
      <c r="G77"/>
      <c r="H77"/>
      <c r="I77"/>
      <c r="J77"/>
      <c r="K77"/>
    </row>
    <row r="78" spans="1:13" x14ac:dyDescent="0.25">
      <c r="C78"/>
      <c r="D78"/>
      <c r="F78"/>
      <c r="G78"/>
      <c r="H78"/>
      <c r="I78"/>
      <c r="J78"/>
      <c r="K78"/>
    </row>
    <row r="79" spans="1:13" x14ac:dyDescent="0.25">
      <c r="D79" s="12"/>
      <c r="E79" s="13"/>
    </row>
    <row r="80" spans="1:13" x14ac:dyDescent="0.25">
      <c r="A80" t="s">
        <v>148</v>
      </c>
      <c r="C80" s="2"/>
      <c r="E80" s="78"/>
    </row>
    <row r="81" spans="1:14" s="1" customFormat="1" x14ac:dyDescent="0.25">
      <c r="A81"/>
      <c r="B81" s="21"/>
      <c r="C81" s="8"/>
      <c r="E81" s="78"/>
      <c r="G81" s="8"/>
      <c r="I81" s="8"/>
      <c r="K81" s="11"/>
      <c r="L81"/>
      <c r="M81"/>
      <c r="N81"/>
    </row>
    <row r="82" spans="1:14" s="1" customFormat="1" x14ac:dyDescent="0.25">
      <c r="A82"/>
      <c r="B82"/>
      <c r="C82" s="8"/>
      <c r="E82" s="78"/>
      <c r="G82" s="8"/>
      <c r="I82" s="8"/>
      <c r="K82" s="11"/>
      <c r="L82"/>
      <c r="M82"/>
      <c r="N82"/>
    </row>
    <row r="83" spans="1:14" s="1" customFormat="1" x14ac:dyDescent="0.25">
      <c r="B83" s="2"/>
      <c r="C83" s="8"/>
      <c r="E83" s="78"/>
      <c r="G83" s="8"/>
      <c r="I83" s="8"/>
      <c r="K83" s="11"/>
      <c r="L83"/>
      <c r="M83"/>
      <c r="N83"/>
    </row>
    <row r="84" spans="1:14" s="1" customFormat="1" x14ac:dyDescent="0.25">
      <c r="A84"/>
      <c r="B84"/>
      <c r="C84" s="8"/>
      <c r="E84" s="78"/>
      <c r="G84" s="8"/>
      <c r="I84" s="8"/>
      <c r="K84" s="11"/>
      <c r="L84"/>
      <c r="M84"/>
      <c r="N84"/>
    </row>
  </sheetData>
  <mergeCells count="6">
    <mergeCell ref="J3:K3"/>
    <mergeCell ref="D5:E5"/>
    <mergeCell ref="A1:C1"/>
    <mergeCell ref="D3:E3"/>
    <mergeCell ref="F3:G3"/>
    <mergeCell ref="H3:I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4A19D-B66C-40B5-9FB9-3F302EFBBB8A}">
  <dimension ref="A1:N84"/>
  <sheetViews>
    <sheetView topLeftCell="A3" workbookViewId="0">
      <pane ySplit="1215" topLeftCell="A66" activePane="bottomLeft"/>
      <selection activeCell="E1" sqref="E1:E1048576"/>
      <selection pane="bottomLeft" activeCell="D72" sqref="D72"/>
    </sheetView>
  </sheetViews>
  <sheetFormatPr defaultColWidth="8.7109375" defaultRowHeight="15" x14ac:dyDescent="0.25"/>
  <cols>
    <col min="1" max="1" width="40.28515625" customWidth="1"/>
    <col min="2" max="2" width="12.42578125" customWidth="1"/>
    <col min="3" max="3" width="19.5703125" style="8" customWidth="1"/>
    <col min="4" max="4" width="6.5703125" style="1" bestFit="1" customWidth="1"/>
    <col min="5" max="5" width="19.42578125" style="8" customWidth="1"/>
    <col min="6" max="6" width="12.5703125" style="1" customWidth="1"/>
    <col min="7" max="7" width="13.28515625" style="8" customWidth="1"/>
    <col min="8" max="8" width="12.28515625" style="1" customWidth="1"/>
    <col min="9" max="9" width="20.42578125" style="8" customWidth="1"/>
    <col min="10" max="10" width="13" style="1" customWidth="1"/>
    <col min="11" max="11" width="15.28515625" style="11" bestFit="1" customWidth="1"/>
    <col min="12" max="12" width="9" bestFit="1" customWidth="1"/>
  </cols>
  <sheetData>
    <row r="1" spans="1:13" ht="16.5" thickBot="1" x14ac:dyDescent="0.3">
      <c r="A1" s="97" t="s">
        <v>143</v>
      </c>
      <c r="B1" s="98"/>
      <c r="C1" s="99"/>
    </row>
    <row r="2" spans="1:13" x14ac:dyDescent="0.25">
      <c r="C2"/>
      <c r="D2"/>
      <c r="E2"/>
      <c r="F2"/>
      <c r="G2"/>
      <c r="H2"/>
      <c r="I2"/>
      <c r="J2"/>
      <c r="K2"/>
    </row>
    <row r="3" spans="1:13" x14ac:dyDescent="0.25">
      <c r="A3" s="14"/>
      <c r="C3" s="71"/>
      <c r="D3" s="90" t="s">
        <v>32</v>
      </c>
      <c r="E3" s="90"/>
      <c r="F3" s="90" t="s">
        <v>62</v>
      </c>
      <c r="G3" s="90"/>
      <c r="H3" s="90" t="s">
        <v>46</v>
      </c>
      <c r="I3" s="90"/>
      <c r="J3" s="88" t="s">
        <v>47</v>
      </c>
      <c r="K3" s="88"/>
    </row>
    <row r="4" spans="1:13" x14ac:dyDescent="0.25">
      <c r="A4" s="4" t="s">
        <v>34</v>
      </c>
      <c r="B4" s="4" t="s">
        <v>48</v>
      </c>
      <c r="C4" s="72" t="s">
        <v>43</v>
      </c>
      <c r="D4" s="3" t="s">
        <v>44</v>
      </c>
      <c r="E4" s="72" t="s">
        <v>45</v>
      </c>
      <c r="F4" s="3" t="s">
        <v>44</v>
      </c>
      <c r="G4" s="72" t="s">
        <v>45</v>
      </c>
      <c r="H4" s="3" t="s">
        <v>44</v>
      </c>
      <c r="I4" s="72" t="s">
        <v>45</v>
      </c>
      <c r="J4" s="3" t="s">
        <v>44</v>
      </c>
      <c r="K4" s="73" t="s">
        <v>45</v>
      </c>
    </row>
    <row r="5" spans="1:13" ht="15.75" thickBot="1" x14ac:dyDescent="0.3">
      <c r="A5" s="15"/>
      <c r="B5" s="15"/>
      <c r="C5" s="16"/>
      <c r="D5" s="89" t="s">
        <v>33</v>
      </c>
      <c r="E5" s="89"/>
      <c r="F5" s="17"/>
      <c r="G5" s="17"/>
      <c r="H5" s="17"/>
      <c r="I5" s="17"/>
      <c r="J5" s="18"/>
      <c r="K5" s="17"/>
    </row>
    <row r="6" spans="1:13" s="74" customFormat="1" x14ac:dyDescent="0.25">
      <c r="A6" s="77" t="s">
        <v>42</v>
      </c>
      <c r="B6" s="77" t="s">
        <v>49</v>
      </c>
      <c r="C6" s="75">
        <v>4530750</v>
      </c>
      <c r="D6" s="76">
        <f>5.715-0.338</f>
        <v>5.3769999999999998</v>
      </c>
      <c r="E6" s="75">
        <f t="shared" ref="E6:E37" si="0">((D6/1000)*C6)</f>
        <v>24361.84275</v>
      </c>
      <c r="F6" s="76">
        <v>0</v>
      </c>
      <c r="G6" s="75">
        <f>C6*F6/1000</f>
        <v>0</v>
      </c>
      <c r="H6" s="76">
        <v>0</v>
      </c>
      <c r="I6" s="75">
        <f>C6*H6/1000</f>
        <v>0</v>
      </c>
      <c r="J6" s="76">
        <v>5.7530000000000001</v>
      </c>
      <c r="K6" s="75">
        <f t="shared" ref="K6:K69" si="1">E6+G6+I6</f>
        <v>24361.84275</v>
      </c>
      <c r="L6" s="77"/>
    </row>
    <row r="7" spans="1:13" x14ac:dyDescent="0.25">
      <c r="A7" t="s">
        <v>42</v>
      </c>
      <c r="B7" t="s">
        <v>51</v>
      </c>
      <c r="C7" s="75">
        <v>8713055638</v>
      </c>
      <c r="D7" s="76">
        <f>5.715-0.338</f>
        <v>5.3769999999999998</v>
      </c>
      <c r="E7" s="75">
        <f t="shared" si="0"/>
        <v>46850100.165525995</v>
      </c>
      <c r="F7" s="76">
        <v>0</v>
      </c>
      <c r="G7" s="75">
        <f t="shared" ref="G7:G70" si="2">C7*F7/1000</f>
        <v>0</v>
      </c>
      <c r="H7" s="76">
        <v>3.5999999999999997E-2</v>
      </c>
      <c r="I7" s="75">
        <f>C7*H7/1000</f>
        <v>313670.00296800002</v>
      </c>
      <c r="J7" s="76">
        <v>5.4130000000000003</v>
      </c>
      <c r="K7" s="75">
        <f t="shared" si="1"/>
        <v>47163770.168493994</v>
      </c>
      <c r="L7" s="77"/>
      <c r="M7" s="74"/>
    </row>
    <row r="8" spans="1:13" x14ac:dyDescent="0.25">
      <c r="A8" t="s">
        <v>76</v>
      </c>
      <c r="B8" t="s">
        <v>77</v>
      </c>
      <c r="C8" s="75">
        <v>419653120</v>
      </c>
      <c r="D8" s="76">
        <v>2.61</v>
      </c>
      <c r="E8" s="75">
        <f t="shared" si="0"/>
        <v>1095294.6432</v>
      </c>
      <c r="F8" s="76">
        <v>1.2929999999999999</v>
      </c>
      <c r="G8" s="75">
        <f t="shared" si="2"/>
        <v>542611.48415999999</v>
      </c>
      <c r="H8" s="76">
        <v>0</v>
      </c>
      <c r="I8" s="75">
        <f t="shared" ref="I8:I72" si="3">C8*H8/1000</f>
        <v>0</v>
      </c>
      <c r="J8" s="76">
        <f>D8+F8+H8</f>
        <v>3.9029999999999996</v>
      </c>
      <c r="K8" s="75">
        <f t="shared" si="1"/>
        <v>1637906.12736</v>
      </c>
      <c r="L8" s="74"/>
      <c r="M8" s="74"/>
    </row>
    <row r="9" spans="1:13" x14ac:dyDescent="0.25">
      <c r="A9" t="s">
        <v>76</v>
      </c>
      <c r="B9" t="s">
        <v>10</v>
      </c>
      <c r="C9" s="75">
        <v>299274620</v>
      </c>
      <c r="D9" s="76">
        <v>2.61</v>
      </c>
      <c r="E9" s="75">
        <f t="shared" si="0"/>
        <v>781106.75819999992</v>
      </c>
      <c r="F9" s="76">
        <v>1.2929999999999999</v>
      </c>
      <c r="G9" s="75">
        <f t="shared" si="2"/>
        <v>386962.08365999995</v>
      </c>
      <c r="H9" s="76">
        <v>0</v>
      </c>
      <c r="I9" s="75">
        <f t="shared" si="3"/>
        <v>0</v>
      </c>
      <c r="J9" s="76">
        <f>D9+F9+H9</f>
        <v>3.9029999999999996</v>
      </c>
      <c r="K9" s="75">
        <f t="shared" si="1"/>
        <v>1168068.8418599998</v>
      </c>
      <c r="L9" s="74"/>
      <c r="M9" s="74"/>
    </row>
    <row r="10" spans="1:13" x14ac:dyDescent="0.25">
      <c r="A10" t="s">
        <v>106</v>
      </c>
      <c r="B10" t="s">
        <v>107</v>
      </c>
      <c r="C10" s="75">
        <v>377578222</v>
      </c>
      <c r="D10" s="76">
        <v>2.4</v>
      </c>
      <c r="E10" s="75">
        <f t="shared" si="0"/>
        <v>906187.73279999988</v>
      </c>
      <c r="F10" s="76">
        <v>0</v>
      </c>
      <c r="G10" s="75">
        <f t="shared" si="2"/>
        <v>0</v>
      </c>
      <c r="H10" s="76">
        <v>0</v>
      </c>
      <c r="I10" s="75">
        <f>C10*H10/1000</f>
        <v>0</v>
      </c>
      <c r="J10" s="76">
        <f>D10+F10+H10</f>
        <v>2.4</v>
      </c>
      <c r="K10" s="75">
        <f t="shared" si="1"/>
        <v>906187.73279999988</v>
      </c>
      <c r="L10" s="74"/>
      <c r="M10" s="74"/>
    </row>
    <row r="11" spans="1:13" x14ac:dyDescent="0.25">
      <c r="A11" t="s">
        <v>65</v>
      </c>
      <c r="B11" t="s">
        <v>111</v>
      </c>
      <c r="C11" s="75">
        <v>327601230</v>
      </c>
      <c r="D11" s="76">
        <v>2</v>
      </c>
      <c r="E11" s="75">
        <f t="shared" si="0"/>
        <v>655202.46</v>
      </c>
      <c r="F11" s="76">
        <v>0</v>
      </c>
      <c r="G11" s="75">
        <f t="shared" si="2"/>
        <v>0</v>
      </c>
      <c r="H11" s="76">
        <v>0</v>
      </c>
      <c r="I11" s="75">
        <f t="shared" si="3"/>
        <v>0</v>
      </c>
      <c r="J11" s="76">
        <f>D11+F11+H11</f>
        <v>2</v>
      </c>
      <c r="K11" s="75">
        <f t="shared" si="1"/>
        <v>655202.46</v>
      </c>
      <c r="L11" s="74"/>
      <c r="M11" s="74"/>
    </row>
    <row r="12" spans="1:13" x14ac:dyDescent="0.25">
      <c r="A12" t="s">
        <v>36</v>
      </c>
      <c r="B12" t="s">
        <v>31</v>
      </c>
      <c r="C12" s="75">
        <v>2323135420</v>
      </c>
      <c r="D12" s="76">
        <v>3.5459999999999998</v>
      </c>
      <c r="E12" s="75">
        <f t="shared" si="0"/>
        <v>8237838.1993199997</v>
      </c>
      <c r="F12" s="76">
        <v>0</v>
      </c>
      <c r="G12" s="75">
        <f t="shared" si="2"/>
        <v>0</v>
      </c>
      <c r="H12" s="76">
        <v>0</v>
      </c>
      <c r="I12" s="75">
        <f t="shared" si="3"/>
        <v>0</v>
      </c>
      <c r="J12" s="76">
        <v>3.5529999999999999</v>
      </c>
      <c r="K12" s="75">
        <f t="shared" si="1"/>
        <v>8237838.1993199997</v>
      </c>
      <c r="L12" s="74"/>
      <c r="M12" s="74"/>
    </row>
    <row r="13" spans="1:13" x14ac:dyDescent="0.25">
      <c r="A13" t="s">
        <v>66</v>
      </c>
      <c r="B13" t="s">
        <v>37</v>
      </c>
      <c r="C13" s="75">
        <v>84791660</v>
      </c>
      <c r="D13" s="76">
        <v>2</v>
      </c>
      <c r="E13" s="75">
        <f t="shared" si="0"/>
        <v>169583.32</v>
      </c>
      <c r="F13" s="76">
        <v>0</v>
      </c>
      <c r="G13" s="75">
        <f t="shared" si="2"/>
        <v>0</v>
      </c>
      <c r="H13" s="76">
        <v>1.0999999999999999E-2</v>
      </c>
      <c r="I13" s="75">
        <f t="shared" si="3"/>
        <v>932.70825999999988</v>
      </c>
      <c r="J13" s="76">
        <v>1.966</v>
      </c>
      <c r="K13" s="75">
        <f t="shared" si="1"/>
        <v>170516.02826000002</v>
      </c>
      <c r="L13" s="74"/>
      <c r="M13" s="74"/>
    </row>
    <row r="14" spans="1:13" x14ac:dyDescent="0.25">
      <c r="A14" t="s">
        <v>67</v>
      </c>
      <c r="B14" t="s">
        <v>68</v>
      </c>
      <c r="C14" s="75">
        <v>156287597</v>
      </c>
      <c r="D14" s="76">
        <v>0.5</v>
      </c>
      <c r="E14" s="75">
        <f t="shared" si="0"/>
        <v>78143.798500000004</v>
      </c>
      <c r="F14" s="76">
        <v>0</v>
      </c>
      <c r="G14" s="75">
        <f t="shared" si="2"/>
        <v>0</v>
      </c>
      <c r="H14" s="76">
        <v>0</v>
      </c>
      <c r="I14" s="75">
        <f t="shared" si="3"/>
        <v>0</v>
      </c>
      <c r="J14" s="76">
        <f>D14+F14+H14</f>
        <v>0.5</v>
      </c>
      <c r="K14" s="75">
        <f t="shared" si="1"/>
        <v>78143.798500000004</v>
      </c>
      <c r="L14" s="74"/>
      <c r="M14" s="74"/>
    </row>
    <row r="15" spans="1:13" x14ac:dyDescent="0.25">
      <c r="A15" t="s">
        <v>71</v>
      </c>
      <c r="B15" t="s">
        <v>38</v>
      </c>
      <c r="C15" s="75">
        <v>450182225</v>
      </c>
      <c r="D15" s="76">
        <v>3</v>
      </c>
      <c r="E15" s="75">
        <f t="shared" si="0"/>
        <v>1350546.675</v>
      </c>
      <c r="F15" s="76">
        <v>0</v>
      </c>
      <c r="G15" s="75">
        <f t="shared" si="2"/>
        <v>0</v>
      </c>
      <c r="H15" s="76">
        <v>0</v>
      </c>
      <c r="I15" s="75">
        <f t="shared" si="3"/>
        <v>0</v>
      </c>
      <c r="J15" s="76">
        <f>D15+F15+H15</f>
        <v>3</v>
      </c>
      <c r="K15" s="75">
        <f t="shared" si="1"/>
        <v>1350546.675</v>
      </c>
      <c r="L15" s="74"/>
      <c r="M15" s="74"/>
    </row>
    <row r="16" spans="1:13" x14ac:dyDescent="0.25">
      <c r="A16" t="s">
        <v>71</v>
      </c>
      <c r="B16" t="s">
        <v>4</v>
      </c>
      <c r="C16" s="75">
        <v>6422990</v>
      </c>
      <c r="D16" s="76">
        <v>3</v>
      </c>
      <c r="E16" s="75">
        <f t="shared" si="0"/>
        <v>19268.97</v>
      </c>
      <c r="F16" s="76">
        <v>0</v>
      </c>
      <c r="G16" s="75">
        <f t="shared" si="2"/>
        <v>0</v>
      </c>
      <c r="H16" s="76">
        <v>0</v>
      </c>
      <c r="I16" s="75">
        <f t="shared" si="3"/>
        <v>0</v>
      </c>
      <c r="J16" s="76">
        <f>D16+F16+H16</f>
        <v>3</v>
      </c>
      <c r="K16" s="75">
        <f t="shared" si="1"/>
        <v>19268.97</v>
      </c>
      <c r="L16" s="74"/>
      <c r="M16" s="74"/>
    </row>
    <row r="17" spans="1:13" x14ac:dyDescent="0.25">
      <c r="A17" t="s">
        <v>72</v>
      </c>
      <c r="B17" t="s">
        <v>73</v>
      </c>
      <c r="C17" s="75">
        <v>109918443</v>
      </c>
      <c r="D17" s="76">
        <v>1</v>
      </c>
      <c r="E17" s="75">
        <f t="shared" si="0"/>
        <v>109918.443</v>
      </c>
      <c r="F17" s="76">
        <v>0</v>
      </c>
      <c r="G17" s="75">
        <f t="shared" si="2"/>
        <v>0</v>
      </c>
      <c r="H17" s="76">
        <v>0</v>
      </c>
      <c r="I17" s="75">
        <f t="shared" si="3"/>
        <v>0</v>
      </c>
      <c r="J17" s="76">
        <f>D17+F17+H17</f>
        <v>1</v>
      </c>
      <c r="K17" s="75">
        <f t="shared" si="1"/>
        <v>109918.443</v>
      </c>
      <c r="L17" s="74"/>
      <c r="M17" s="74"/>
    </row>
    <row r="18" spans="1:13" x14ac:dyDescent="0.25">
      <c r="A18" t="s">
        <v>1</v>
      </c>
      <c r="B18" t="s">
        <v>2</v>
      </c>
      <c r="C18" s="75">
        <v>62017240</v>
      </c>
      <c r="D18" s="76">
        <v>4.1559999999999997</v>
      </c>
      <c r="E18" s="75">
        <f t="shared" si="0"/>
        <v>257743.64944000001</v>
      </c>
      <c r="F18" s="76">
        <v>0</v>
      </c>
      <c r="G18" s="75">
        <f t="shared" si="2"/>
        <v>0</v>
      </c>
      <c r="H18" s="76">
        <v>0</v>
      </c>
      <c r="I18" s="75">
        <f t="shared" si="3"/>
        <v>0</v>
      </c>
      <c r="J18" s="76">
        <v>4.173</v>
      </c>
      <c r="K18" s="75">
        <f t="shared" si="1"/>
        <v>257743.64944000001</v>
      </c>
      <c r="L18" s="74"/>
      <c r="M18" s="74"/>
    </row>
    <row r="19" spans="1:13" x14ac:dyDescent="0.25">
      <c r="A19" t="s">
        <v>120</v>
      </c>
      <c r="B19" t="s">
        <v>75</v>
      </c>
      <c r="C19" s="75">
        <v>10390833820</v>
      </c>
      <c r="D19" s="76">
        <f>4-0.487</f>
        <v>3.5129999999999999</v>
      </c>
      <c r="E19" s="75">
        <f t="shared" si="0"/>
        <v>36502999.209660001</v>
      </c>
      <c r="F19" s="76">
        <v>0</v>
      </c>
      <c r="G19" s="75">
        <f t="shared" si="2"/>
        <v>0</v>
      </c>
      <c r="H19" s="76">
        <v>0</v>
      </c>
      <c r="I19" s="75">
        <f t="shared" si="3"/>
        <v>0</v>
      </c>
      <c r="J19" s="76">
        <f t="shared" ref="J19:J25" si="4">D19+F19+H19</f>
        <v>3.5129999999999999</v>
      </c>
      <c r="K19" s="75">
        <f t="shared" si="1"/>
        <v>36502999.209660001</v>
      </c>
      <c r="L19" s="74"/>
      <c r="M19" s="74"/>
    </row>
    <row r="20" spans="1:13" x14ac:dyDescent="0.25">
      <c r="A20" t="s">
        <v>78</v>
      </c>
      <c r="B20" t="s">
        <v>77</v>
      </c>
      <c r="C20" s="75">
        <v>3001738850</v>
      </c>
      <c r="D20" s="76">
        <f>2.763-0.85</f>
        <v>1.9129999999999998</v>
      </c>
      <c r="E20" s="75">
        <f t="shared" si="0"/>
        <v>5742326.4200499989</v>
      </c>
      <c r="F20" s="76">
        <v>0</v>
      </c>
      <c r="G20" s="75">
        <f t="shared" si="2"/>
        <v>0</v>
      </c>
      <c r="H20" s="76">
        <v>0</v>
      </c>
      <c r="I20" s="75">
        <f t="shared" si="3"/>
        <v>0</v>
      </c>
      <c r="J20" s="76">
        <f t="shared" si="4"/>
        <v>1.9129999999999998</v>
      </c>
      <c r="K20" s="75">
        <f t="shared" si="1"/>
        <v>5742326.4200499989</v>
      </c>
      <c r="L20" s="74"/>
      <c r="M20" s="74"/>
    </row>
    <row r="21" spans="1:13" x14ac:dyDescent="0.25">
      <c r="A21" t="s">
        <v>63</v>
      </c>
      <c r="B21" t="s">
        <v>64</v>
      </c>
      <c r="C21" s="75">
        <v>98826061</v>
      </c>
      <c r="D21" s="76">
        <v>1</v>
      </c>
      <c r="E21" s="75">
        <f t="shared" si="0"/>
        <v>98826.061000000002</v>
      </c>
      <c r="F21" s="76">
        <v>0</v>
      </c>
      <c r="G21" s="75">
        <f t="shared" si="2"/>
        <v>0</v>
      </c>
      <c r="H21" s="76">
        <v>0</v>
      </c>
      <c r="I21" s="75">
        <f t="shared" si="3"/>
        <v>0</v>
      </c>
      <c r="J21" s="76">
        <f t="shared" si="4"/>
        <v>1</v>
      </c>
      <c r="K21" s="75">
        <f t="shared" si="1"/>
        <v>98826.061000000002</v>
      </c>
      <c r="L21" s="74"/>
      <c r="M21" s="74"/>
    </row>
    <row r="22" spans="1:13" x14ac:dyDescent="0.25">
      <c r="A22" t="s">
        <v>6</v>
      </c>
      <c r="B22" t="s">
        <v>7</v>
      </c>
      <c r="C22" s="75">
        <v>259440320</v>
      </c>
      <c r="D22" s="76">
        <v>3.5</v>
      </c>
      <c r="E22" s="75">
        <f t="shared" si="0"/>
        <v>908041.12</v>
      </c>
      <c r="F22" s="76">
        <v>0</v>
      </c>
      <c r="G22" s="75">
        <f t="shared" si="2"/>
        <v>0</v>
      </c>
      <c r="H22" s="76">
        <v>0</v>
      </c>
      <c r="I22" s="75">
        <f t="shared" si="3"/>
        <v>0</v>
      </c>
      <c r="J22" s="76">
        <f t="shared" si="4"/>
        <v>3.5</v>
      </c>
      <c r="K22" s="75">
        <f t="shared" si="1"/>
        <v>908041.12</v>
      </c>
      <c r="L22" s="74"/>
      <c r="M22" s="74"/>
    </row>
    <row r="23" spans="1:13" x14ac:dyDescent="0.25">
      <c r="A23" t="s">
        <v>21</v>
      </c>
      <c r="B23" t="s">
        <v>22</v>
      </c>
      <c r="C23" s="75">
        <v>1810377900</v>
      </c>
      <c r="D23" s="76">
        <f>3.298-1.498</f>
        <v>1.8</v>
      </c>
      <c r="E23" s="75">
        <f t="shared" si="0"/>
        <v>3258680.2199999997</v>
      </c>
      <c r="F23" s="76">
        <v>0</v>
      </c>
      <c r="G23" s="75">
        <f t="shared" si="2"/>
        <v>0</v>
      </c>
      <c r="H23" s="76">
        <v>3.0000000000000001E-3</v>
      </c>
      <c r="I23" s="75">
        <f t="shared" si="3"/>
        <v>5431.1337000000003</v>
      </c>
      <c r="J23" s="76">
        <f t="shared" si="4"/>
        <v>1.8029999999999999</v>
      </c>
      <c r="K23" s="75">
        <f t="shared" si="1"/>
        <v>3264111.3536999999</v>
      </c>
      <c r="L23" s="74"/>
      <c r="M23" s="74"/>
    </row>
    <row r="24" spans="1:13" x14ac:dyDescent="0.25">
      <c r="A24" t="s">
        <v>79</v>
      </c>
      <c r="B24" t="s">
        <v>80</v>
      </c>
      <c r="C24" s="75">
        <v>631331830</v>
      </c>
      <c r="D24" s="76">
        <v>2.516</v>
      </c>
      <c r="E24" s="75">
        <f t="shared" si="0"/>
        <v>1588430.8842800001</v>
      </c>
      <c r="F24" s="76">
        <v>0</v>
      </c>
      <c r="G24" s="75">
        <f t="shared" si="2"/>
        <v>0</v>
      </c>
      <c r="H24" s="76">
        <v>0</v>
      </c>
      <c r="I24" s="75">
        <f t="shared" si="3"/>
        <v>0</v>
      </c>
      <c r="J24" s="76">
        <f t="shared" si="4"/>
        <v>2.516</v>
      </c>
      <c r="K24" s="75">
        <f t="shared" si="1"/>
        <v>1588430.8842800001</v>
      </c>
      <c r="L24" s="74"/>
      <c r="M24" s="74"/>
    </row>
    <row r="25" spans="1:13" x14ac:dyDescent="0.25">
      <c r="A25" t="s">
        <v>108</v>
      </c>
      <c r="B25" t="s">
        <v>107</v>
      </c>
      <c r="C25" s="75">
        <v>584338322</v>
      </c>
      <c r="D25" s="76">
        <v>4.5199999999999996</v>
      </c>
      <c r="E25" s="75">
        <f t="shared" si="0"/>
        <v>2641209.2154399999</v>
      </c>
      <c r="F25" s="76">
        <v>0</v>
      </c>
      <c r="G25" s="75">
        <f t="shared" si="2"/>
        <v>0</v>
      </c>
      <c r="H25" s="76">
        <v>4.0000000000000001E-3</v>
      </c>
      <c r="I25" s="75">
        <f t="shared" si="3"/>
        <v>2337.3532880000002</v>
      </c>
      <c r="J25" s="76">
        <f t="shared" si="4"/>
        <v>4.5239999999999991</v>
      </c>
      <c r="K25" s="75">
        <f t="shared" si="1"/>
        <v>2643546.5687279999</v>
      </c>
      <c r="L25" s="74"/>
      <c r="M25" s="74"/>
    </row>
    <row r="26" spans="1:13" x14ac:dyDescent="0.25">
      <c r="A26" t="s">
        <v>86</v>
      </c>
      <c r="B26" t="s">
        <v>87</v>
      </c>
      <c r="C26" s="79">
        <v>3994438810</v>
      </c>
      <c r="D26" s="76">
        <v>1.5</v>
      </c>
      <c r="E26" s="75">
        <f t="shared" si="0"/>
        <v>5991658.2149999999</v>
      </c>
      <c r="F26" s="76">
        <v>0</v>
      </c>
      <c r="G26" s="75">
        <f t="shared" si="2"/>
        <v>0</v>
      </c>
      <c r="H26" s="76">
        <v>1.0009999999999999</v>
      </c>
      <c r="I26" s="75">
        <f t="shared" si="3"/>
        <v>3998433.2488099993</v>
      </c>
      <c r="J26" s="76">
        <v>2.5019999999999998</v>
      </c>
      <c r="K26" s="75">
        <f t="shared" si="1"/>
        <v>9990091.4638099987</v>
      </c>
      <c r="L26" s="74"/>
      <c r="M26" s="74"/>
    </row>
    <row r="27" spans="1:13" x14ac:dyDescent="0.25">
      <c r="A27" t="s">
        <v>88</v>
      </c>
      <c r="B27" t="s">
        <v>89</v>
      </c>
      <c r="C27" s="75">
        <v>546700100</v>
      </c>
      <c r="D27" s="76">
        <v>0.23899999999999999</v>
      </c>
      <c r="E27" s="75">
        <f t="shared" si="0"/>
        <v>130661.32389999999</v>
      </c>
      <c r="F27" s="76">
        <v>0</v>
      </c>
      <c r="G27" s="75">
        <f t="shared" si="2"/>
        <v>0</v>
      </c>
      <c r="H27" s="76">
        <v>0.85599999999999998</v>
      </c>
      <c r="I27" s="75">
        <f t="shared" si="3"/>
        <v>467975.28559999994</v>
      </c>
      <c r="J27" s="76">
        <f t="shared" ref="J27:J47" si="5">D27+F27+H27</f>
        <v>1.095</v>
      </c>
      <c r="K27" s="75">
        <f t="shared" si="1"/>
        <v>598636.6094999999</v>
      </c>
      <c r="L27" s="74"/>
      <c r="M27" s="74"/>
    </row>
    <row r="28" spans="1:13" x14ac:dyDescent="0.25">
      <c r="A28" t="s">
        <v>90</v>
      </c>
      <c r="B28" t="s">
        <v>91</v>
      </c>
      <c r="C28" s="75">
        <v>1415383820</v>
      </c>
      <c r="D28" s="76">
        <v>3.36</v>
      </c>
      <c r="E28" s="75">
        <f t="shared" si="0"/>
        <v>4755689.6351999994</v>
      </c>
      <c r="F28" s="76">
        <v>0</v>
      </c>
      <c r="G28" s="75">
        <f t="shared" si="2"/>
        <v>0</v>
      </c>
      <c r="H28" s="76">
        <v>3.0000000000000001E-3</v>
      </c>
      <c r="I28" s="75">
        <f t="shared" si="3"/>
        <v>4246.15146</v>
      </c>
      <c r="J28" s="76">
        <f t="shared" si="5"/>
        <v>3.363</v>
      </c>
      <c r="K28" s="75">
        <f t="shared" si="1"/>
        <v>4759935.7866599998</v>
      </c>
      <c r="L28" s="74"/>
      <c r="M28" s="74"/>
    </row>
    <row r="29" spans="1:13" x14ac:dyDescent="0.25">
      <c r="A29" t="s">
        <v>92</v>
      </c>
      <c r="B29" t="s">
        <v>93</v>
      </c>
      <c r="C29" s="75">
        <v>1154515520</v>
      </c>
      <c r="D29" s="76">
        <v>2.1640000000000001</v>
      </c>
      <c r="E29" s="75">
        <f t="shared" si="0"/>
        <v>2498371.5852800002</v>
      </c>
      <c r="F29" s="76">
        <v>0</v>
      </c>
      <c r="G29" s="75">
        <f t="shared" si="2"/>
        <v>0</v>
      </c>
      <c r="H29" s="76">
        <v>3.0000000000000001E-3</v>
      </c>
      <c r="I29" s="75">
        <f t="shared" si="3"/>
        <v>3463.5465600000002</v>
      </c>
      <c r="J29" s="76">
        <f t="shared" si="5"/>
        <v>2.1670000000000003</v>
      </c>
      <c r="K29" s="75">
        <f t="shared" si="1"/>
        <v>2501835.1318400004</v>
      </c>
      <c r="L29" s="74"/>
      <c r="M29" s="74"/>
    </row>
    <row r="30" spans="1:13" x14ac:dyDescent="0.25">
      <c r="A30" t="s">
        <v>56</v>
      </c>
      <c r="B30" t="s">
        <v>57</v>
      </c>
      <c r="C30" s="75">
        <v>268633060</v>
      </c>
      <c r="D30" s="76">
        <v>3.177</v>
      </c>
      <c r="E30" s="75">
        <f t="shared" si="0"/>
        <v>853447.23162000009</v>
      </c>
      <c r="F30" s="76">
        <v>0</v>
      </c>
      <c r="G30" s="75">
        <f t="shared" si="2"/>
        <v>0</v>
      </c>
      <c r="H30" s="76">
        <v>1.9E-2</v>
      </c>
      <c r="I30" s="75">
        <f t="shared" si="3"/>
        <v>5104.0281399999994</v>
      </c>
      <c r="J30" s="76">
        <f t="shared" si="5"/>
        <v>3.1960000000000002</v>
      </c>
      <c r="K30" s="75">
        <f t="shared" si="1"/>
        <v>858551.25976000004</v>
      </c>
      <c r="L30" s="74"/>
      <c r="M30" s="74"/>
    </row>
    <row r="31" spans="1:13" x14ac:dyDescent="0.25">
      <c r="A31" t="s">
        <v>56</v>
      </c>
      <c r="B31" t="s">
        <v>31</v>
      </c>
      <c r="C31" s="75">
        <v>21463563070</v>
      </c>
      <c r="D31" s="76">
        <v>3.177</v>
      </c>
      <c r="E31" s="75">
        <f t="shared" si="0"/>
        <v>68189739.873390004</v>
      </c>
      <c r="F31" s="76">
        <v>0</v>
      </c>
      <c r="G31" s="75">
        <f t="shared" si="2"/>
        <v>0</v>
      </c>
      <c r="H31" s="76">
        <v>1.9E-2</v>
      </c>
      <c r="I31" s="75">
        <f t="shared" si="3"/>
        <v>407807.69832999998</v>
      </c>
      <c r="J31" s="76">
        <f t="shared" si="5"/>
        <v>3.1960000000000002</v>
      </c>
      <c r="K31" s="75">
        <f t="shared" si="1"/>
        <v>68597547.571720004</v>
      </c>
      <c r="L31" s="74"/>
      <c r="M31" s="74"/>
    </row>
    <row r="32" spans="1:13" x14ac:dyDescent="0.25">
      <c r="A32" t="s">
        <v>125</v>
      </c>
      <c r="B32" t="s">
        <v>94</v>
      </c>
      <c r="C32" s="75">
        <v>49989130</v>
      </c>
      <c r="D32" s="76">
        <v>1.75</v>
      </c>
      <c r="E32" s="75">
        <f t="shared" si="0"/>
        <v>87480.977500000008</v>
      </c>
      <c r="F32" s="76">
        <v>0</v>
      </c>
      <c r="G32" s="75">
        <f t="shared" si="2"/>
        <v>0</v>
      </c>
      <c r="H32" s="76">
        <v>0</v>
      </c>
      <c r="I32" s="75">
        <f t="shared" si="3"/>
        <v>0</v>
      </c>
      <c r="J32" s="76">
        <f t="shared" si="5"/>
        <v>1.75</v>
      </c>
      <c r="K32" s="75">
        <f t="shared" si="1"/>
        <v>87480.977500000008</v>
      </c>
      <c r="L32" s="74"/>
      <c r="M32" s="74"/>
    </row>
    <row r="33" spans="1:13" x14ac:dyDescent="0.25">
      <c r="A33" t="s">
        <v>103</v>
      </c>
      <c r="B33" t="s">
        <v>104</v>
      </c>
      <c r="C33" s="75">
        <v>316754810</v>
      </c>
      <c r="D33" s="76">
        <v>1.5</v>
      </c>
      <c r="E33" s="75">
        <f t="shared" si="0"/>
        <v>475132.21500000003</v>
      </c>
      <c r="F33" s="76">
        <v>0</v>
      </c>
      <c r="G33" s="75">
        <f t="shared" si="2"/>
        <v>0</v>
      </c>
      <c r="H33" s="76">
        <v>0</v>
      </c>
      <c r="I33" s="75">
        <f t="shared" si="3"/>
        <v>0</v>
      </c>
      <c r="J33" s="76">
        <f t="shared" si="5"/>
        <v>1.5</v>
      </c>
      <c r="K33" s="75">
        <f t="shared" si="1"/>
        <v>475132.21500000003</v>
      </c>
      <c r="L33" s="74"/>
      <c r="M33" s="74"/>
    </row>
    <row r="34" spans="1:13" x14ac:dyDescent="0.25">
      <c r="A34" t="s">
        <v>112</v>
      </c>
      <c r="B34" t="s">
        <v>98</v>
      </c>
      <c r="C34" s="75">
        <v>95163363</v>
      </c>
      <c r="D34" s="76">
        <v>1.4119999999999999</v>
      </c>
      <c r="E34" s="75">
        <f t="shared" si="0"/>
        <v>134370.66855599999</v>
      </c>
      <c r="F34" s="76">
        <v>0</v>
      </c>
      <c r="G34" s="75">
        <f t="shared" si="2"/>
        <v>0</v>
      </c>
      <c r="H34" s="76">
        <v>0</v>
      </c>
      <c r="I34" s="75">
        <f t="shared" si="3"/>
        <v>0</v>
      </c>
      <c r="J34" s="76">
        <f t="shared" si="5"/>
        <v>1.4119999999999999</v>
      </c>
      <c r="K34" s="75">
        <f t="shared" si="1"/>
        <v>134370.66855599999</v>
      </c>
      <c r="L34" s="74"/>
      <c r="M34" s="74"/>
    </row>
    <row r="35" spans="1:13" x14ac:dyDescent="0.25">
      <c r="A35" t="s">
        <v>99</v>
      </c>
      <c r="B35" t="s">
        <v>100</v>
      </c>
      <c r="C35" s="75">
        <v>13810805201</v>
      </c>
      <c r="D35" s="76">
        <v>4.5</v>
      </c>
      <c r="E35" s="75">
        <f t="shared" si="0"/>
        <v>62148623.404499993</v>
      </c>
      <c r="F35" s="76">
        <v>0</v>
      </c>
      <c r="G35" s="75">
        <f t="shared" si="2"/>
        <v>0</v>
      </c>
      <c r="H35" s="76">
        <v>0</v>
      </c>
      <c r="I35" s="75">
        <f t="shared" si="3"/>
        <v>0</v>
      </c>
      <c r="J35" s="76">
        <f t="shared" si="5"/>
        <v>4.5</v>
      </c>
      <c r="K35" s="75">
        <f t="shared" si="1"/>
        <v>62148623.404499993</v>
      </c>
      <c r="L35" s="74"/>
      <c r="M35" s="74"/>
    </row>
    <row r="36" spans="1:13" x14ac:dyDescent="0.25">
      <c r="A36" t="s">
        <v>83</v>
      </c>
      <c r="B36" t="s">
        <v>84</v>
      </c>
      <c r="C36" s="75">
        <v>120847684</v>
      </c>
      <c r="D36" s="76">
        <v>2</v>
      </c>
      <c r="E36" s="75">
        <f t="shared" si="0"/>
        <v>241695.36800000002</v>
      </c>
      <c r="F36" s="76">
        <v>0</v>
      </c>
      <c r="G36" s="75">
        <f t="shared" si="2"/>
        <v>0</v>
      </c>
      <c r="H36" s="76">
        <v>2E-3</v>
      </c>
      <c r="I36" s="75">
        <f t="shared" si="3"/>
        <v>241.69536800000003</v>
      </c>
      <c r="J36" s="76">
        <f t="shared" si="5"/>
        <v>2.0019999999999998</v>
      </c>
      <c r="K36" s="75">
        <f t="shared" si="1"/>
        <v>241937.063368</v>
      </c>
      <c r="L36" s="74"/>
      <c r="M36" s="74"/>
    </row>
    <row r="37" spans="1:13" x14ac:dyDescent="0.25">
      <c r="A37" t="s">
        <v>101</v>
      </c>
      <c r="B37" t="s">
        <v>102</v>
      </c>
      <c r="C37" s="75">
        <v>39598690</v>
      </c>
      <c r="D37" s="76">
        <v>1.5</v>
      </c>
      <c r="E37" s="75">
        <f t="shared" si="0"/>
        <v>59398.035000000003</v>
      </c>
      <c r="F37" s="76">
        <v>0</v>
      </c>
      <c r="G37" s="75">
        <f t="shared" si="2"/>
        <v>0</v>
      </c>
      <c r="H37" s="76">
        <v>4.2000000000000003E-2</v>
      </c>
      <c r="I37" s="75">
        <f t="shared" si="3"/>
        <v>1663.1449800000003</v>
      </c>
      <c r="J37" s="76">
        <f t="shared" si="5"/>
        <v>1.542</v>
      </c>
      <c r="K37" s="75">
        <f t="shared" si="1"/>
        <v>61061.179980000001</v>
      </c>
      <c r="L37" s="74"/>
      <c r="M37" s="74"/>
    </row>
    <row r="38" spans="1:13" x14ac:dyDescent="0.25">
      <c r="A38" t="s">
        <v>95</v>
      </c>
      <c r="B38" t="s">
        <v>96</v>
      </c>
      <c r="C38" s="75">
        <v>35375681</v>
      </c>
      <c r="D38" s="76">
        <v>6.1669999999999998</v>
      </c>
      <c r="E38" s="75">
        <f t="shared" ref="E38:E69" si="6">((D38/1000)*C38)</f>
        <v>218161.824727</v>
      </c>
      <c r="F38" s="76">
        <v>0</v>
      </c>
      <c r="G38" s="75">
        <f t="shared" si="2"/>
        <v>0</v>
      </c>
      <c r="H38" s="76">
        <v>1.4999999999999999E-2</v>
      </c>
      <c r="I38" s="75">
        <f t="shared" si="3"/>
        <v>530.63521500000002</v>
      </c>
      <c r="J38" s="76">
        <f t="shared" si="5"/>
        <v>6.1819999999999995</v>
      </c>
      <c r="K38" s="75">
        <f t="shared" si="1"/>
        <v>218692.45994199999</v>
      </c>
      <c r="L38" s="74"/>
      <c r="M38" s="74"/>
    </row>
    <row r="39" spans="1:13" x14ac:dyDescent="0.25">
      <c r="A39" t="s">
        <v>54</v>
      </c>
      <c r="B39" t="s">
        <v>55</v>
      </c>
      <c r="C39" s="75">
        <v>71883570</v>
      </c>
      <c r="D39" s="76">
        <v>1.5</v>
      </c>
      <c r="E39" s="75">
        <f t="shared" si="6"/>
        <v>107825.355</v>
      </c>
      <c r="F39" s="76">
        <v>0</v>
      </c>
      <c r="G39" s="75">
        <f t="shared" si="2"/>
        <v>0</v>
      </c>
      <c r="H39" s="76">
        <v>0</v>
      </c>
      <c r="I39" s="75">
        <f t="shared" si="3"/>
        <v>0</v>
      </c>
      <c r="J39" s="76">
        <f t="shared" si="5"/>
        <v>1.5</v>
      </c>
      <c r="K39" s="75">
        <f t="shared" si="1"/>
        <v>107825.355</v>
      </c>
      <c r="L39" s="74"/>
      <c r="M39" s="74"/>
    </row>
    <row r="40" spans="1:13" x14ac:dyDescent="0.25">
      <c r="A40" t="s">
        <v>131</v>
      </c>
      <c r="B40" t="s">
        <v>132</v>
      </c>
      <c r="C40" s="75">
        <v>181176415</v>
      </c>
      <c r="D40" s="76">
        <v>0.5</v>
      </c>
      <c r="E40" s="75">
        <f t="shared" si="6"/>
        <v>90588.207500000004</v>
      </c>
      <c r="F40" s="76">
        <v>0</v>
      </c>
      <c r="G40" s="75">
        <f t="shared" si="2"/>
        <v>0</v>
      </c>
      <c r="H40" s="76">
        <v>0</v>
      </c>
      <c r="I40" s="75">
        <f t="shared" si="3"/>
        <v>0</v>
      </c>
      <c r="J40" s="76">
        <f t="shared" si="5"/>
        <v>0.5</v>
      </c>
      <c r="K40" s="75">
        <f t="shared" si="1"/>
        <v>90588.207500000004</v>
      </c>
      <c r="L40" s="74"/>
      <c r="M40" s="74"/>
    </row>
    <row r="41" spans="1:13" ht="16.149999999999999" customHeight="1" x14ac:dyDescent="0.25">
      <c r="A41" t="s">
        <v>118</v>
      </c>
      <c r="B41" t="s">
        <v>57</v>
      </c>
      <c r="C41" s="79">
        <v>104665872</v>
      </c>
      <c r="D41" s="76">
        <v>5.85</v>
      </c>
      <c r="E41" s="75">
        <f t="shared" si="6"/>
        <v>612295.35119999992</v>
      </c>
      <c r="F41" s="76">
        <v>0</v>
      </c>
      <c r="G41" s="75">
        <f t="shared" si="2"/>
        <v>0</v>
      </c>
      <c r="H41" s="76">
        <v>6.0000000000000001E-3</v>
      </c>
      <c r="I41" s="75">
        <f t="shared" si="3"/>
        <v>627.99523199999999</v>
      </c>
      <c r="J41" s="76">
        <f t="shared" si="5"/>
        <v>5.8559999999999999</v>
      </c>
      <c r="K41" s="75">
        <f t="shared" si="1"/>
        <v>612923.34643199993</v>
      </c>
      <c r="L41" s="74"/>
      <c r="M41" s="74"/>
    </row>
    <row r="42" spans="1:13" x14ac:dyDescent="0.25">
      <c r="A42" t="s">
        <v>118</v>
      </c>
      <c r="B42" t="s">
        <v>119</v>
      </c>
      <c r="C42" s="75">
        <v>21353890</v>
      </c>
      <c r="D42" s="76">
        <v>5.85</v>
      </c>
      <c r="E42" s="75">
        <f t="shared" si="6"/>
        <v>124920.25649999999</v>
      </c>
      <c r="F42" s="76">
        <v>0</v>
      </c>
      <c r="G42" s="75">
        <f t="shared" si="2"/>
        <v>0</v>
      </c>
      <c r="H42" s="76">
        <v>6.0000000000000001E-3</v>
      </c>
      <c r="I42" s="75">
        <f t="shared" si="3"/>
        <v>128.12333999999998</v>
      </c>
      <c r="J42" s="76">
        <f t="shared" si="5"/>
        <v>5.8559999999999999</v>
      </c>
      <c r="K42" s="75">
        <f t="shared" si="1"/>
        <v>125048.37983999999</v>
      </c>
      <c r="L42" s="74"/>
      <c r="M42" s="74"/>
    </row>
    <row r="43" spans="1:13" x14ac:dyDescent="0.25">
      <c r="A43" t="s">
        <v>3</v>
      </c>
      <c r="B43" t="s">
        <v>2</v>
      </c>
      <c r="C43" s="75">
        <v>54794750</v>
      </c>
      <c r="D43" s="76">
        <v>8</v>
      </c>
      <c r="E43" s="75">
        <f t="shared" si="6"/>
        <v>438358</v>
      </c>
      <c r="F43" s="76">
        <v>0</v>
      </c>
      <c r="G43" s="75">
        <f t="shared" si="2"/>
        <v>0</v>
      </c>
      <c r="H43" s="76">
        <v>0</v>
      </c>
      <c r="I43" s="75">
        <f t="shared" si="3"/>
        <v>0</v>
      </c>
      <c r="J43" s="76">
        <f t="shared" si="5"/>
        <v>8</v>
      </c>
      <c r="K43" s="75">
        <f t="shared" si="1"/>
        <v>438358</v>
      </c>
      <c r="L43" s="74"/>
      <c r="M43" s="74"/>
    </row>
    <row r="44" spans="1:13" x14ac:dyDescent="0.25">
      <c r="A44" t="s">
        <v>16</v>
      </c>
      <c r="B44" t="s">
        <v>17</v>
      </c>
      <c r="C44" s="75">
        <v>662628890</v>
      </c>
      <c r="D44" s="76">
        <f>2.032-1.016</f>
        <v>1.016</v>
      </c>
      <c r="E44" s="75">
        <f t="shared" si="6"/>
        <v>673230.95224000001</v>
      </c>
      <c r="F44" s="76">
        <v>0</v>
      </c>
      <c r="G44" s="75">
        <f t="shared" si="2"/>
        <v>0</v>
      </c>
      <c r="H44" s="76">
        <v>0</v>
      </c>
      <c r="I44" s="75">
        <f t="shared" si="3"/>
        <v>0</v>
      </c>
      <c r="J44" s="76">
        <f t="shared" si="5"/>
        <v>1.016</v>
      </c>
      <c r="K44" s="75">
        <f t="shared" si="1"/>
        <v>673230.95224000001</v>
      </c>
      <c r="L44" s="74"/>
      <c r="M44" s="74"/>
    </row>
    <row r="45" spans="1:13" x14ac:dyDescent="0.25">
      <c r="A45" t="s">
        <v>110</v>
      </c>
      <c r="B45" t="s">
        <v>0</v>
      </c>
      <c r="C45" s="75">
        <v>2784629510</v>
      </c>
      <c r="D45" s="76">
        <v>3</v>
      </c>
      <c r="E45" s="75">
        <f t="shared" si="6"/>
        <v>8353888.5300000003</v>
      </c>
      <c r="F45" s="76">
        <v>0</v>
      </c>
      <c r="G45" s="75">
        <f t="shared" si="2"/>
        <v>0</v>
      </c>
      <c r="H45" s="76">
        <v>6.0000000000000001E-3</v>
      </c>
      <c r="I45" s="75">
        <f t="shared" si="3"/>
        <v>16707.77706</v>
      </c>
      <c r="J45" s="76">
        <f t="shared" si="5"/>
        <v>3.0059999999999998</v>
      </c>
      <c r="K45" s="75">
        <f t="shared" si="1"/>
        <v>8370596.3070600005</v>
      </c>
      <c r="L45" s="74"/>
      <c r="M45" s="74"/>
    </row>
    <row r="46" spans="1:13" x14ac:dyDescent="0.25">
      <c r="A46" t="s">
        <v>5</v>
      </c>
      <c r="B46" t="s">
        <v>4</v>
      </c>
      <c r="C46" s="75">
        <v>831085150</v>
      </c>
      <c r="D46" s="76">
        <v>3.85</v>
      </c>
      <c r="E46" s="75">
        <f t="shared" si="6"/>
        <v>3199677.8275000001</v>
      </c>
      <c r="F46" s="76">
        <v>0</v>
      </c>
      <c r="G46" s="75">
        <f t="shared" si="2"/>
        <v>0</v>
      </c>
      <c r="H46" s="76">
        <v>0</v>
      </c>
      <c r="I46" s="75">
        <f t="shared" si="3"/>
        <v>0</v>
      </c>
      <c r="J46" s="76">
        <f t="shared" si="5"/>
        <v>3.85</v>
      </c>
      <c r="K46" s="75">
        <f t="shared" si="1"/>
        <v>3199677.8275000001</v>
      </c>
      <c r="L46" s="74"/>
      <c r="M46" s="74"/>
    </row>
    <row r="47" spans="1:13" x14ac:dyDescent="0.25">
      <c r="A47" t="s">
        <v>58</v>
      </c>
      <c r="B47" t="s">
        <v>57</v>
      </c>
      <c r="C47" s="75">
        <v>119518477</v>
      </c>
      <c r="D47" s="76">
        <v>4.4000000000000004</v>
      </c>
      <c r="E47" s="75">
        <f t="shared" si="6"/>
        <v>525881.29879999999</v>
      </c>
      <c r="F47" s="76">
        <v>1.155</v>
      </c>
      <c r="G47" s="75">
        <f t="shared" si="2"/>
        <v>138043.84093500001</v>
      </c>
      <c r="H47" s="76">
        <v>0</v>
      </c>
      <c r="I47" s="75">
        <f t="shared" si="3"/>
        <v>0</v>
      </c>
      <c r="J47" s="76">
        <f t="shared" si="5"/>
        <v>5.5550000000000006</v>
      </c>
      <c r="K47" s="75">
        <f t="shared" si="1"/>
        <v>663925.13973499998</v>
      </c>
      <c r="L47" s="74"/>
      <c r="M47" s="74"/>
    </row>
    <row r="48" spans="1:13" x14ac:dyDescent="0.25">
      <c r="A48" t="s">
        <v>136</v>
      </c>
      <c r="B48" t="s">
        <v>135</v>
      </c>
      <c r="C48" s="75">
        <v>363773</v>
      </c>
      <c r="D48" s="76">
        <v>0</v>
      </c>
      <c r="E48" s="75">
        <f t="shared" si="6"/>
        <v>0</v>
      </c>
      <c r="F48" s="76">
        <v>1.155</v>
      </c>
      <c r="G48" s="75">
        <f t="shared" si="2"/>
        <v>420.15781500000003</v>
      </c>
      <c r="H48" s="76">
        <v>0</v>
      </c>
      <c r="I48" s="75">
        <f t="shared" si="3"/>
        <v>0</v>
      </c>
      <c r="J48" s="76">
        <v>1.427</v>
      </c>
      <c r="K48" s="75">
        <f t="shared" si="1"/>
        <v>420.15781500000003</v>
      </c>
      <c r="L48" s="74"/>
      <c r="M48" s="74"/>
    </row>
    <row r="49" spans="1:13" x14ac:dyDescent="0.25">
      <c r="A49" t="s">
        <v>59</v>
      </c>
      <c r="B49" t="s">
        <v>60</v>
      </c>
      <c r="C49" s="75">
        <v>408438230</v>
      </c>
      <c r="D49" s="76">
        <v>3.7</v>
      </c>
      <c r="E49" s="75">
        <f t="shared" si="6"/>
        <v>1511221.4510000001</v>
      </c>
      <c r="F49" s="76">
        <v>0</v>
      </c>
      <c r="G49" s="75">
        <f t="shared" si="2"/>
        <v>0</v>
      </c>
      <c r="H49" s="76">
        <v>0</v>
      </c>
      <c r="I49" s="75">
        <f t="shared" si="3"/>
        <v>0</v>
      </c>
      <c r="J49" s="76">
        <f t="shared" ref="J49:J62" si="7">D49+F49+H49</f>
        <v>3.7</v>
      </c>
      <c r="K49" s="75">
        <f t="shared" si="1"/>
        <v>1511221.4510000001</v>
      </c>
      <c r="L49" s="74"/>
      <c r="M49" s="74"/>
    </row>
    <row r="50" spans="1:13" x14ac:dyDescent="0.25">
      <c r="A50" t="s">
        <v>133</v>
      </c>
      <c r="B50" t="s">
        <v>134</v>
      </c>
      <c r="C50" s="75">
        <v>75758950</v>
      </c>
      <c r="D50" s="76">
        <v>5.1109999999999998</v>
      </c>
      <c r="E50" s="75">
        <f t="shared" si="6"/>
        <v>387203.99345000001</v>
      </c>
      <c r="F50" s="76">
        <v>0</v>
      </c>
      <c r="G50" s="75">
        <f t="shared" si="2"/>
        <v>0</v>
      </c>
      <c r="H50" s="76">
        <v>0</v>
      </c>
      <c r="I50" s="75">
        <f t="shared" si="3"/>
        <v>0</v>
      </c>
      <c r="J50" s="76">
        <f t="shared" si="7"/>
        <v>5.1109999999999998</v>
      </c>
      <c r="K50" s="75">
        <f t="shared" si="1"/>
        <v>387203.99345000001</v>
      </c>
      <c r="L50" s="74"/>
      <c r="M50" s="74"/>
    </row>
    <row r="51" spans="1:13" x14ac:dyDescent="0.25">
      <c r="A51" t="s">
        <v>122</v>
      </c>
      <c r="B51" t="s">
        <v>8</v>
      </c>
      <c r="C51" s="75">
        <v>101251360</v>
      </c>
      <c r="D51" s="76">
        <v>1.57</v>
      </c>
      <c r="E51" s="75">
        <f t="shared" si="6"/>
        <v>158964.63519999999</v>
      </c>
      <c r="F51" s="76">
        <v>0</v>
      </c>
      <c r="G51" s="75">
        <f t="shared" si="2"/>
        <v>0</v>
      </c>
      <c r="H51" s="76">
        <v>0</v>
      </c>
      <c r="I51" s="75">
        <f t="shared" si="3"/>
        <v>0</v>
      </c>
      <c r="J51" s="76">
        <f t="shared" si="7"/>
        <v>1.57</v>
      </c>
      <c r="K51" s="75">
        <f t="shared" si="1"/>
        <v>158964.63519999999</v>
      </c>
      <c r="L51" s="74"/>
      <c r="M51" s="74"/>
    </row>
    <row r="52" spans="1:13" ht="14.25" customHeight="1" x14ac:dyDescent="0.25">
      <c r="A52" t="s">
        <v>85</v>
      </c>
      <c r="B52" t="s">
        <v>84</v>
      </c>
      <c r="C52" s="75">
        <v>44097689</v>
      </c>
      <c r="D52" s="76">
        <v>5.508</v>
      </c>
      <c r="E52" s="75">
        <f t="shared" si="6"/>
        <v>242890.071012</v>
      </c>
      <c r="F52" s="76">
        <v>0</v>
      </c>
      <c r="G52" s="75">
        <f t="shared" si="2"/>
        <v>0</v>
      </c>
      <c r="H52" s="76">
        <v>0</v>
      </c>
      <c r="I52" s="75">
        <f t="shared" si="3"/>
        <v>0</v>
      </c>
      <c r="J52" s="76">
        <f t="shared" si="7"/>
        <v>5.508</v>
      </c>
      <c r="K52" s="75">
        <f t="shared" si="1"/>
        <v>242890.071012</v>
      </c>
      <c r="L52" s="74"/>
      <c r="M52" s="74"/>
    </row>
    <row r="53" spans="1:13" x14ac:dyDescent="0.25">
      <c r="A53" t="s">
        <v>81</v>
      </c>
      <c r="B53" t="s">
        <v>82</v>
      </c>
      <c r="C53" s="75">
        <v>11877413160</v>
      </c>
      <c r="D53" s="76">
        <v>3.0470000000000002</v>
      </c>
      <c r="E53" s="75">
        <f t="shared" si="6"/>
        <v>36190477.89852</v>
      </c>
      <c r="F53" s="76">
        <v>0</v>
      </c>
      <c r="G53" s="75">
        <f t="shared" si="2"/>
        <v>0</v>
      </c>
      <c r="H53" s="76">
        <v>1.4E-2</v>
      </c>
      <c r="I53" s="75">
        <f t="shared" si="3"/>
        <v>166283.78424000001</v>
      </c>
      <c r="J53" s="76">
        <f t="shared" si="7"/>
        <v>3.0609999999999999</v>
      </c>
      <c r="K53" s="75">
        <f t="shared" si="1"/>
        <v>36356761.68276</v>
      </c>
      <c r="L53" s="74"/>
      <c r="M53" s="74"/>
    </row>
    <row r="54" spans="1:13" x14ac:dyDescent="0.25">
      <c r="A54" t="s">
        <v>105</v>
      </c>
      <c r="B54" t="s">
        <v>104</v>
      </c>
      <c r="C54" s="75">
        <v>266333200</v>
      </c>
      <c r="D54" s="76">
        <v>4</v>
      </c>
      <c r="E54" s="75">
        <f t="shared" si="6"/>
        <v>1065332.8</v>
      </c>
      <c r="F54" s="76">
        <v>0</v>
      </c>
      <c r="G54" s="75">
        <f t="shared" si="2"/>
        <v>0</v>
      </c>
      <c r="H54" s="76">
        <v>0</v>
      </c>
      <c r="I54" s="75">
        <f t="shared" si="3"/>
        <v>0</v>
      </c>
      <c r="J54" s="76">
        <f t="shared" si="7"/>
        <v>4</v>
      </c>
      <c r="K54" s="75">
        <f t="shared" si="1"/>
        <v>1065332.8</v>
      </c>
      <c r="L54" s="74"/>
      <c r="M54" s="74"/>
    </row>
    <row r="55" spans="1:13" x14ac:dyDescent="0.25">
      <c r="A55" t="s">
        <v>11</v>
      </c>
      <c r="B55" t="s">
        <v>10</v>
      </c>
      <c r="C55" s="75">
        <v>5396289360</v>
      </c>
      <c r="D55" s="76">
        <f>1.625-0.645</f>
        <v>0.98</v>
      </c>
      <c r="E55" s="75">
        <f t="shared" si="6"/>
        <v>5288363.5728000002</v>
      </c>
      <c r="F55" s="76">
        <v>0</v>
      </c>
      <c r="G55" s="75">
        <f t="shared" si="2"/>
        <v>0</v>
      </c>
      <c r="H55" s="76">
        <v>1E-3</v>
      </c>
      <c r="I55" s="75">
        <f t="shared" si="3"/>
        <v>5396.2893600000007</v>
      </c>
      <c r="J55" s="76">
        <f t="shared" si="7"/>
        <v>0.98099999999999998</v>
      </c>
      <c r="K55" s="75">
        <f t="shared" si="1"/>
        <v>5293759.86216</v>
      </c>
      <c r="L55" s="74"/>
      <c r="M55" s="74"/>
    </row>
    <row r="56" spans="1:13" x14ac:dyDescent="0.25">
      <c r="A56" t="s">
        <v>35</v>
      </c>
      <c r="B56" t="s">
        <v>107</v>
      </c>
      <c r="C56" s="75">
        <v>4988492771</v>
      </c>
      <c r="D56" s="76">
        <v>3</v>
      </c>
      <c r="E56" s="75">
        <f t="shared" si="6"/>
        <v>14965478.313000001</v>
      </c>
      <c r="F56" s="76">
        <v>0</v>
      </c>
      <c r="G56" s="75">
        <f t="shared" si="2"/>
        <v>0</v>
      </c>
      <c r="H56" s="76">
        <v>0.01</v>
      </c>
      <c r="I56" s="75">
        <f t="shared" si="3"/>
        <v>49884.927710000004</v>
      </c>
      <c r="J56" s="76">
        <f t="shared" si="7"/>
        <v>3.01</v>
      </c>
      <c r="K56" s="75">
        <f t="shared" si="1"/>
        <v>15015363.240710001</v>
      </c>
      <c r="L56" s="74"/>
      <c r="M56" s="74"/>
    </row>
    <row r="57" spans="1:13" x14ac:dyDescent="0.25">
      <c r="A57" s="80" t="s">
        <v>144</v>
      </c>
      <c r="B57" s="80" t="s">
        <v>13</v>
      </c>
      <c r="C57" s="81"/>
      <c r="D57" s="82"/>
      <c r="E57" s="83"/>
      <c r="F57" s="84"/>
      <c r="G57" s="83"/>
      <c r="H57" s="84"/>
      <c r="I57" s="83"/>
      <c r="J57" s="84"/>
      <c r="K57" s="83"/>
      <c r="L57" s="74"/>
      <c r="M57" s="74"/>
    </row>
    <row r="58" spans="1:13" x14ac:dyDescent="0.25">
      <c r="A58" t="s">
        <v>14</v>
      </c>
      <c r="B58" t="s">
        <v>15</v>
      </c>
      <c r="C58" s="75">
        <v>2347566634</v>
      </c>
      <c r="D58" s="76">
        <v>5.85</v>
      </c>
      <c r="E58" s="75">
        <f t="shared" si="6"/>
        <v>13733264.808899999</v>
      </c>
      <c r="F58" s="76">
        <v>0</v>
      </c>
      <c r="G58" s="75">
        <f t="shared" si="2"/>
        <v>0</v>
      </c>
      <c r="H58" s="76">
        <f>0.28+0.504</f>
        <v>0.78400000000000003</v>
      </c>
      <c r="I58" s="75">
        <f t="shared" si="3"/>
        <v>1840492.2410559999</v>
      </c>
      <c r="J58" s="76">
        <f t="shared" si="7"/>
        <v>6.6339999999999995</v>
      </c>
      <c r="K58" s="75">
        <f t="shared" si="1"/>
        <v>15573757.049955998</v>
      </c>
      <c r="L58" s="74"/>
      <c r="M58" s="74"/>
    </row>
    <row r="59" spans="1:13" x14ac:dyDescent="0.25">
      <c r="A59" t="s">
        <v>28</v>
      </c>
      <c r="B59" t="s">
        <v>29</v>
      </c>
      <c r="C59" s="75">
        <v>419469290</v>
      </c>
      <c r="D59" s="76">
        <v>4.1189999999999998</v>
      </c>
      <c r="E59" s="75">
        <f t="shared" si="6"/>
        <v>1727794.0055099998</v>
      </c>
      <c r="F59" s="76">
        <v>0</v>
      </c>
      <c r="G59" s="75">
        <f t="shared" si="2"/>
        <v>0</v>
      </c>
      <c r="H59" s="76">
        <v>0.02</v>
      </c>
      <c r="I59" s="75">
        <f t="shared" si="3"/>
        <v>8389.3858</v>
      </c>
      <c r="J59" s="76">
        <f t="shared" si="7"/>
        <v>4.1389999999999993</v>
      </c>
      <c r="K59" s="75">
        <f t="shared" si="1"/>
        <v>1736183.3913099999</v>
      </c>
      <c r="L59" s="74"/>
      <c r="M59" s="74"/>
    </row>
    <row r="60" spans="1:13" x14ac:dyDescent="0.25">
      <c r="A60" t="s">
        <v>18</v>
      </c>
      <c r="B60" t="s">
        <v>17</v>
      </c>
      <c r="C60" s="75">
        <v>352174830</v>
      </c>
      <c r="D60" s="76">
        <v>0.5</v>
      </c>
      <c r="E60" s="75">
        <f t="shared" si="6"/>
        <v>176087.41500000001</v>
      </c>
      <c r="F60" s="76">
        <v>0</v>
      </c>
      <c r="G60" s="75">
        <f t="shared" si="2"/>
        <v>0</v>
      </c>
      <c r="H60" s="76">
        <v>0</v>
      </c>
      <c r="I60" s="75">
        <f t="shared" si="3"/>
        <v>0</v>
      </c>
      <c r="J60" s="76">
        <f t="shared" si="7"/>
        <v>0.5</v>
      </c>
      <c r="K60" s="75">
        <f t="shared" si="1"/>
        <v>176087.41500000001</v>
      </c>
      <c r="L60" s="74"/>
      <c r="M60" s="74"/>
    </row>
    <row r="61" spans="1:13" x14ac:dyDescent="0.25">
      <c r="A61" t="s">
        <v>50</v>
      </c>
      <c r="B61" t="s">
        <v>49</v>
      </c>
      <c r="C61" s="75">
        <v>9535739500</v>
      </c>
      <c r="D61" s="76">
        <v>3.6469999999999998</v>
      </c>
      <c r="E61" s="75">
        <f t="shared" si="6"/>
        <v>34776841.956499994</v>
      </c>
      <c r="F61" s="76">
        <v>0</v>
      </c>
      <c r="G61" s="75">
        <f t="shared" si="2"/>
        <v>0</v>
      </c>
      <c r="H61" s="76">
        <v>6.0000000000000001E-3</v>
      </c>
      <c r="I61" s="75">
        <f t="shared" si="3"/>
        <v>57214.436999999998</v>
      </c>
      <c r="J61" s="76">
        <f t="shared" si="7"/>
        <v>3.6529999999999996</v>
      </c>
      <c r="K61" s="75">
        <f t="shared" si="1"/>
        <v>34834056.393499993</v>
      </c>
      <c r="L61" s="74"/>
      <c r="M61" s="74"/>
    </row>
    <row r="62" spans="1:13" x14ac:dyDescent="0.25">
      <c r="A62" t="s">
        <v>109</v>
      </c>
      <c r="B62" t="s">
        <v>107</v>
      </c>
      <c r="C62" s="75">
        <v>112060313</v>
      </c>
      <c r="D62" s="76">
        <v>4.75</v>
      </c>
      <c r="E62" s="75">
        <f t="shared" si="6"/>
        <v>532286.48675000004</v>
      </c>
      <c r="F62" s="76">
        <v>0</v>
      </c>
      <c r="G62" s="75">
        <f t="shared" si="2"/>
        <v>0</v>
      </c>
      <c r="H62" s="76">
        <v>0</v>
      </c>
      <c r="I62" s="75">
        <f t="shared" si="3"/>
        <v>0</v>
      </c>
      <c r="J62" s="76">
        <f t="shared" si="7"/>
        <v>4.75</v>
      </c>
      <c r="K62" s="75">
        <f t="shared" si="1"/>
        <v>532286.48675000004</v>
      </c>
      <c r="L62" s="74"/>
      <c r="M62" s="74"/>
    </row>
    <row r="63" spans="1:13" x14ac:dyDescent="0.25">
      <c r="A63" t="s">
        <v>9</v>
      </c>
      <c r="B63" t="s">
        <v>8</v>
      </c>
      <c r="C63" s="75">
        <v>192543040</v>
      </c>
      <c r="D63" s="76">
        <f>2.8-0.888</f>
        <v>1.9119999999999999</v>
      </c>
      <c r="E63" s="75">
        <f t="shared" si="6"/>
        <v>368142.29247999995</v>
      </c>
      <c r="F63" s="76">
        <v>0</v>
      </c>
      <c r="G63" s="75">
        <f t="shared" si="2"/>
        <v>0</v>
      </c>
      <c r="H63" s="76">
        <v>5.0000000000000001E-3</v>
      </c>
      <c r="I63" s="75">
        <f t="shared" si="3"/>
        <v>962.7152000000001</v>
      </c>
      <c r="J63" s="76">
        <v>2.8029999999999999</v>
      </c>
      <c r="K63" s="75">
        <f t="shared" si="1"/>
        <v>369105.00767999992</v>
      </c>
      <c r="L63" s="74"/>
      <c r="M63" s="74"/>
    </row>
    <row r="64" spans="1:13" x14ac:dyDescent="0.25">
      <c r="A64" t="s">
        <v>19</v>
      </c>
      <c r="B64" t="s">
        <v>20</v>
      </c>
      <c r="C64" s="75">
        <v>234767861</v>
      </c>
      <c r="D64" s="76">
        <v>1.5</v>
      </c>
      <c r="E64" s="75">
        <f t="shared" si="6"/>
        <v>352151.79149999999</v>
      </c>
      <c r="F64" s="76">
        <v>0</v>
      </c>
      <c r="G64" s="75">
        <f t="shared" si="2"/>
        <v>0</v>
      </c>
      <c r="H64" s="76">
        <v>0</v>
      </c>
      <c r="I64" s="75">
        <f t="shared" si="3"/>
        <v>0</v>
      </c>
      <c r="J64" s="76">
        <f t="shared" ref="J64:J72" si="8">D64+F64+H64</f>
        <v>1.5</v>
      </c>
      <c r="K64" s="75">
        <f t="shared" si="1"/>
        <v>352151.79149999999</v>
      </c>
      <c r="L64" s="74"/>
      <c r="M64" s="74"/>
    </row>
    <row r="65" spans="1:13" x14ac:dyDescent="0.25">
      <c r="A65" t="s">
        <v>127</v>
      </c>
      <c r="B65" t="s">
        <v>60</v>
      </c>
      <c r="C65" s="75">
        <v>451562550</v>
      </c>
      <c r="D65" s="76">
        <v>3.5</v>
      </c>
      <c r="E65" s="75">
        <f t="shared" si="6"/>
        <v>1580468.925</v>
      </c>
      <c r="F65" s="76">
        <v>0</v>
      </c>
      <c r="G65" s="75">
        <f t="shared" si="2"/>
        <v>0</v>
      </c>
      <c r="H65" s="76">
        <v>3.0000000000000001E-3</v>
      </c>
      <c r="I65" s="75">
        <f t="shared" si="3"/>
        <v>1354.6876500000001</v>
      </c>
      <c r="J65" s="76">
        <f t="shared" si="8"/>
        <v>3.5030000000000001</v>
      </c>
      <c r="K65" s="75">
        <f t="shared" si="1"/>
        <v>1581823.61265</v>
      </c>
      <c r="L65" s="74"/>
      <c r="M65" s="74"/>
    </row>
    <row r="66" spans="1:13" x14ac:dyDescent="0.25">
      <c r="A66" t="s">
        <v>30</v>
      </c>
      <c r="B66" t="s">
        <v>29</v>
      </c>
      <c r="C66" s="75">
        <v>429868060</v>
      </c>
      <c r="D66" s="76">
        <f>0.573-0.022</f>
        <v>0.55099999999999993</v>
      </c>
      <c r="E66" s="75">
        <f t="shared" si="6"/>
        <v>236857.30105999997</v>
      </c>
      <c r="F66" s="76">
        <v>0</v>
      </c>
      <c r="G66" s="75">
        <f t="shared" si="2"/>
        <v>0</v>
      </c>
      <c r="H66" s="76">
        <v>0.01</v>
      </c>
      <c r="I66" s="75">
        <f t="shared" si="3"/>
        <v>4298.6805999999997</v>
      </c>
      <c r="J66" s="76">
        <f t="shared" si="8"/>
        <v>0.56099999999999994</v>
      </c>
      <c r="K66" s="75">
        <f t="shared" si="1"/>
        <v>241155.98165999996</v>
      </c>
      <c r="L66" s="74"/>
      <c r="M66" s="74"/>
    </row>
    <row r="67" spans="1:13" x14ac:dyDescent="0.25">
      <c r="A67" t="s">
        <v>114</v>
      </c>
      <c r="B67" t="s">
        <v>25</v>
      </c>
      <c r="C67" s="75">
        <v>1212428933</v>
      </c>
      <c r="D67" s="76">
        <v>3.512</v>
      </c>
      <c r="E67" s="75">
        <f t="shared" si="6"/>
        <v>4258050.4126960002</v>
      </c>
      <c r="F67" s="76">
        <v>0</v>
      </c>
      <c r="G67" s="75">
        <f t="shared" si="2"/>
        <v>0</v>
      </c>
      <c r="H67" s="76">
        <v>0</v>
      </c>
      <c r="I67" s="75">
        <f t="shared" si="3"/>
        <v>0</v>
      </c>
      <c r="J67" s="76">
        <f t="shared" si="8"/>
        <v>3.512</v>
      </c>
      <c r="K67" s="75">
        <f t="shared" si="1"/>
        <v>4258050.4126960002</v>
      </c>
      <c r="L67" s="74"/>
      <c r="M67" s="74"/>
    </row>
    <row r="68" spans="1:13" x14ac:dyDescent="0.25">
      <c r="A68" t="s">
        <v>113</v>
      </c>
      <c r="B68" t="s">
        <v>25</v>
      </c>
      <c r="C68" s="75">
        <v>43969291</v>
      </c>
      <c r="D68" s="76">
        <v>10.428000000000001</v>
      </c>
      <c r="E68" s="75">
        <f t="shared" si="6"/>
        <v>458511.76654800004</v>
      </c>
      <c r="F68" s="76">
        <v>0</v>
      </c>
      <c r="G68" s="75">
        <f t="shared" si="2"/>
        <v>0</v>
      </c>
      <c r="H68" s="76">
        <v>0</v>
      </c>
      <c r="I68" s="75">
        <f t="shared" si="3"/>
        <v>0</v>
      </c>
      <c r="J68" s="76">
        <f t="shared" si="8"/>
        <v>10.428000000000001</v>
      </c>
      <c r="K68" s="75">
        <f t="shared" si="1"/>
        <v>458511.76654800004</v>
      </c>
      <c r="L68" s="74"/>
      <c r="M68" s="74"/>
    </row>
    <row r="69" spans="1:13" x14ac:dyDescent="0.25">
      <c r="A69" t="s">
        <v>23</v>
      </c>
      <c r="B69" t="s">
        <v>22</v>
      </c>
      <c r="C69" s="75">
        <v>132549660</v>
      </c>
      <c r="D69" s="76">
        <v>1.125</v>
      </c>
      <c r="E69" s="75">
        <f t="shared" si="6"/>
        <v>149118.36749999999</v>
      </c>
      <c r="F69" s="76">
        <v>0</v>
      </c>
      <c r="G69" s="75">
        <f t="shared" si="2"/>
        <v>0</v>
      </c>
      <c r="H69" s="76">
        <v>0</v>
      </c>
      <c r="I69" s="75">
        <f t="shared" si="3"/>
        <v>0</v>
      </c>
      <c r="J69" s="76">
        <f t="shared" si="8"/>
        <v>1.125</v>
      </c>
      <c r="K69" s="75">
        <f t="shared" si="1"/>
        <v>149118.36749999999</v>
      </c>
      <c r="L69" s="74"/>
      <c r="M69" s="74"/>
    </row>
    <row r="70" spans="1:13" x14ac:dyDescent="0.25">
      <c r="A70" t="s">
        <v>129</v>
      </c>
      <c r="B70" t="s">
        <v>130</v>
      </c>
      <c r="C70" s="75">
        <v>352561520</v>
      </c>
      <c r="D70" s="76">
        <v>1.5</v>
      </c>
      <c r="E70" s="75">
        <f t="shared" ref="E70:E72" si="9">((D70/1000)*C70)</f>
        <v>528842.28</v>
      </c>
      <c r="F70" s="76">
        <v>0</v>
      </c>
      <c r="G70" s="75">
        <f t="shared" si="2"/>
        <v>0</v>
      </c>
      <c r="H70" s="76">
        <v>0</v>
      </c>
      <c r="I70" s="75">
        <f t="shared" si="3"/>
        <v>0</v>
      </c>
      <c r="J70" s="76">
        <f t="shared" si="8"/>
        <v>1.5</v>
      </c>
      <c r="K70" s="75">
        <f t="shared" ref="K70:K75" si="10">E70+G70+I70</f>
        <v>528842.28</v>
      </c>
      <c r="L70" s="74"/>
      <c r="M70" s="74"/>
    </row>
    <row r="71" spans="1:13" x14ac:dyDescent="0.25">
      <c r="A71" t="s">
        <v>97</v>
      </c>
      <c r="B71" t="s">
        <v>96</v>
      </c>
      <c r="C71" s="75">
        <v>121111027</v>
      </c>
      <c r="D71" s="76">
        <v>2.08</v>
      </c>
      <c r="E71" s="75">
        <f t="shared" si="9"/>
        <v>251910.93616000004</v>
      </c>
      <c r="F71" s="76">
        <v>2.02</v>
      </c>
      <c r="G71" s="75">
        <f t="shared" ref="G71:G75" si="11">C71*F71/1000</f>
        <v>244644.27453999998</v>
      </c>
      <c r="H71" s="76">
        <v>8.0000000000000002E-3</v>
      </c>
      <c r="I71" s="75">
        <f t="shared" si="3"/>
        <v>968.88821600000006</v>
      </c>
      <c r="J71" s="76">
        <f t="shared" si="8"/>
        <v>4.1079999999999997</v>
      </c>
      <c r="K71" s="75">
        <f t="shared" si="10"/>
        <v>497524.09891600005</v>
      </c>
      <c r="L71" s="74"/>
      <c r="M71" s="74"/>
    </row>
    <row r="72" spans="1:13" x14ac:dyDescent="0.25">
      <c r="A72" t="s">
        <v>26</v>
      </c>
      <c r="B72" t="s">
        <v>27</v>
      </c>
      <c r="C72" s="75">
        <v>2418329560</v>
      </c>
      <c r="D72" s="76">
        <v>0.91</v>
      </c>
      <c r="E72" s="75">
        <f t="shared" si="9"/>
        <v>2200679.8996000001</v>
      </c>
      <c r="F72" s="76">
        <v>0</v>
      </c>
      <c r="G72" s="75">
        <f t="shared" si="11"/>
        <v>0</v>
      </c>
      <c r="H72" s="76">
        <v>0</v>
      </c>
      <c r="I72" s="75">
        <f t="shared" si="3"/>
        <v>0</v>
      </c>
      <c r="J72" s="76">
        <f t="shared" si="8"/>
        <v>0.91</v>
      </c>
      <c r="K72" s="75">
        <f t="shared" si="10"/>
        <v>2200679.8996000001</v>
      </c>
      <c r="L72" s="74"/>
      <c r="M72" s="74"/>
    </row>
    <row r="73" spans="1:13" x14ac:dyDescent="0.25">
      <c r="A73" t="s">
        <v>52</v>
      </c>
      <c r="B73" t="s">
        <v>53</v>
      </c>
      <c r="C73" s="75">
        <v>399020330</v>
      </c>
      <c r="D73" s="76">
        <v>1.5</v>
      </c>
      <c r="E73" s="75">
        <f>((D73/1000)*C73)</f>
        <v>598530.495</v>
      </c>
      <c r="F73" s="76">
        <v>0</v>
      </c>
      <c r="G73" s="75">
        <f t="shared" si="11"/>
        <v>0</v>
      </c>
      <c r="H73" s="76">
        <v>5.0000000000000001E-3</v>
      </c>
      <c r="I73" s="75">
        <f t="shared" ref="I73:I75" si="12">C73*H73/1000</f>
        <v>1995.1016500000001</v>
      </c>
      <c r="J73" s="76">
        <f>D73+F73+H73</f>
        <v>1.5049999999999999</v>
      </c>
      <c r="K73" s="75">
        <f t="shared" si="10"/>
        <v>600525.59664999996</v>
      </c>
      <c r="L73" s="74"/>
      <c r="M73" s="74"/>
    </row>
    <row r="74" spans="1:13" x14ac:dyDescent="0.25">
      <c r="A74" t="s">
        <v>69</v>
      </c>
      <c r="B74" t="s">
        <v>70</v>
      </c>
      <c r="C74" s="75">
        <v>143855284</v>
      </c>
      <c r="D74" s="76">
        <v>1.9830000000000001</v>
      </c>
      <c r="E74" s="75">
        <f>((D74/1000)*C74)</f>
        <v>285265.02817200002</v>
      </c>
      <c r="F74" s="76">
        <v>0</v>
      </c>
      <c r="G74" s="75">
        <f t="shared" si="11"/>
        <v>0</v>
      </c>
      <c r="H74" s="76">
        <v>0</v>
      </c>
      <c r="I74" s="75">
        <f t="shared" si="12"/>
        <v>0</v>
      </c>
      <c r="J74" s="76">
        <f>D74+F74+H74</f>
        <v>1.9830000000000001</v>
      </c>
      <c r="K74" s="75">
        <f t="shared" si="10"/>
        <v>285265.02817200002</v>
      </c>
      <c r="L74" s="74"/>
      <c r="M74" s="74"/>
    </row>
    <row r="75" spans="1:13" x14ac:dyDescent="0.25">
      <c r="A75" t="s">
        <v>24</v>
      </c>
      <c r="B75" t="s">
        <v>22</v>
      </c>
      <c r="C75" s="75">
        <v>146368670</v>
      </c>
      <c r="D75" s="76">
        <v>1.7110000000000001</v>
      </c>
      <c r="E75" s="75">
        <f>((D75/1000)*C75)</f>
        <v>250436.79437000002</v>
      </c>
      <c r="F75" s="76">
        <v>0</v>
      </c>
      <c r="G75" s="75">
        <f t="shared" si="11"/>
        <v>0</v>
      </c>
      <c r="H75" s="76">
        <v>0</v>
      </c>
      <c r="I75" s="75">
        <f t="shared" si="12"/>
        <v>0</v>
      </c>
      <c r="J75" s="76">
        <f>D75+F75+H75</f>
        <v>1.7110000000000001</v>
      </c>
      <c r="K75" s="75">
        <f t="shared" si="10"/>
        <v>250436.79437000002</v>
      </c>
      <c r="L75" s="74"/>
      <c r="M75" s="74"/>
    </row>
    <row r="76" spans="1:13" x14ac:dyDescent="0.25"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</row>
    <row r="77" spans="1:13" x14ac:dyDescent="0.25">
      <c r="C77"/>
      <c r="D77"/>
      <c r="E77"/>
      <c r="F77"/>
      <c r="G77"/>
      <c r="H77"/>
      <c r="I77"/>
      <c r="J77"/>
      <c r="K77"/>
    </row>
    <row r="78" spans="1:13" x14ac:dyDescent="0.25">
      <c r="C78"/>
      <c r="D78"/>
      <c r="F78"/>
      <c r="G78"/>
      <c r="H78"/>
      <c r="I78"/>
      <c r="J78"/>
      <c r="K78"/>
    </row>
    <row r="79" spans="1:13" x14ac:dyDescent="0.25">
      <c r="D79" s="12"/>
      <c r="E79" s="13"/>
    </row>
    <row r="80" spans="1:13" x14ac:dyDescent="0.25">
      <c r="A80" t="s">
        <v>147</v>
      </c>
      <c r="C80" s="2"/>
      <c r="E80" s="78"/>
    </row>
    <row r="81" spans="1:14" s="1" customFormat="1" x14ac:dyDescent="0.25">
      <c r="A81"/>
      <c r="B81" s="21"/>
      <c r="C81" s="8"/>
      <c r="E81" s="78"/>
      <c r="G81" s="8"/>
      <c r="I81" s="8"/>
      <c r="K81" s="11"/>
      <c r="L81"/>
      <c r="M81"/>
      <c r="N81"/>
    </row>
    <row r="82" spans="1:14" s="1" customFormat="1" x14ac:dyDescent="0.25">
      <c r="A82"/>
      <c r="B82"/>
      <c r="C82" s="8"/>
      <c r="E82" s="78"/>
      <c r="G82" s="8"/>
      <c r="I82" s="8"/>
      <c r="K82" s="11"/>
      <c r="L82"/>
      <c r="M82"/>
      <c r="N82"/>
    </row>
    <row r="83" spans="1:14" s="1" customFormat="1" x14ac:dyDescent="0.25">
      <c r="B83" s="2"/>
      <c r="C83" s="8"/>
      <c r="E83" s="78"/>
      <c r="G83" s="8"/>
      <c r="I83" s="8"/>
      <c r="K83" s="11"/>
      <c r="L83"/>
      <c r="M83"/>
      <c r="N83"/>
    </row>
    <row r="84" spans="1:14" s="1" customFormat="1" x14ac:dyDescent="0.25">
      <c r="A84"/>
      <c r="B84"/>
      <c r="C84" s="8"/>
      <c r="E84" s="78"/>
      <c r="G84" s="8"/>
      <c r="I84" s="8"/>
      <c r="K84" s="11"/>
      <c r="L84"/>
      <c r="M84"/>
      <c r="N84"/>
    </row>
  </sheetData>
  <mergeCells count="6">
    <mergeCell ref="J3:K3"/>
    <mergeCell ref="D5:E5"/>
    <mergeCell ref="A1:C1"/>
    <mergeCell ref="D3:E3"/>
    <mergeCell ref="F3:G3"/>
    <mergeCell ref="H3:I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43B4-D63E-46B8-9CFD-98B116ACD287}">
  <dimension ref="A1:N83"/>
  <sheetViews>
    <sheetView tabSelected="1" topLeftCell="A3" workbookViewId="0">
      <pane ySplit="1215" activePane="bottomLeft"/>
      <selection activeCell="E1" sqref="E1:E1048576"/>
      <selection pane="bottomLeft" activeCell="E35" sqref="E35"/>
    </sheetView>
  </sheetViews>
  <sheetFormatPr defaultColWidth="8.7109375" defaultRowHeight="15" x14ac:dyDescent="0.25"/>
  <cols>
    <col min="1" max="1" width="48.140625" customWidth="1"/>
    <col min="2" max="2" width="12.42578125" customWidth="1"/>
    <col min="3" max="3" width="19.5703125" style="8" customWidth="1"/>
    <col min="4" max="4" width="6.5703125" style="1" bestFit="1" customWidth="1"/>
    <col min="5" max="5" width="19.42578125" style="8" customWidth="1"/>
    <col min="6" max="6" width="12.5703125" style="1" customWidth="1"/>
    <col min="7" max="7" width="13.28515625" style="8" customWidth="1"/>
    <col min="8" max="8" width="12.28515625" style="1" customWidth="1"/>
    <col min="9" max="9" width="20.42578125" style="8" customWidth="1"/>
    <col min="10" max="10" width="13" style="1" customWidth="1"/>
    <col min="11" max="11" width="15.28515625" style="11" bestFit="1" customWidth="1"/>
    <col min="12" max="12" width="9" bestFit="1" customWidth="1"/>
  </cols>
  <sheetData>
    <row r="1" spans="1:13" ht="16.5" thickBot="1" x14ac:dyDescent="0.3">
      <c r="A1" s="97" t="s">
        <v>145</v>
      </c>
      <c r="B1" s="98"/>
      <c r="C1" s="99"/>
    </row>
    <row r="2" spans="1:13" x14ac:dyDescent="0.25">
      <c r="C2"/>
      <c r="D2"/>
      <c r="E2"/>
      <c r="F2"/>
      <c r="G2"/>
      <c r="H2"/>
      <c r="I2"/>
      <c r="J2"/>
      <c r="K2"/>
    </row>
    <row r="3" spans="1:13" x14ac:dyDescent="0.25">
      <c r="A3" s="14"/>
      <c r="C3" s="71"/>
      <c r="D3" s="90" t="s">
        <v>32</v>
      </c>
      <c r="E3" s="90"/>
      <c r="F3" s="90" t="s">
        <v>62</v>
      </c>
      <c r="G3" s="90"/>
      <c r="H3" s="90" t="s">
        <v>46</v>
      </c>
      <c r="I3" s="90"/>
      <c r="J3" s="88" t="s">
        <v>47</v>
      </c>
      <c r="K3" s="88"/>
    </row>
    <row r="4" spans="1:13" x14ac:dyDescent="0.25">
      <c r="A4" s="4" t="s">
        <v>34</v>
      </c>
      <c r="B4" s="4" t="s">
        <v>48</v>
      </c>
      <c r="C4" s="72" t="s">
        <v>43</v>
      </c>
      <c r="D4" s="3" t="s">
        <v>44</v>
      </c>
      <c r="E4" s="72" t="s">
        <v>45</v>
      </c>
      <c r="F4" s="3" t="s">
        <v>44</v>
      </c>
      <c r="G4" s="72" t="s">
        <v>45</v>
      </c>
      <c r="H4" s="3" t="s">
        <v>44</v>
      </c>
      <c r="I4" s="72" t="s">
        <v>45</v>
      </c>
      <c r="J4" s="3" t="s">
        <v>44</v>
      </c>
      <c r="K4" s="73" t="s">
        <v>45</v>
      </c>
    </row>
    <row r="5" spans="1:13" ht="15.75" thickBot="1" x14ac:dyDescent="0.3">
      <c r="A5" s="15"/>
      <c r="B5" s="15"/>
      <c r="C5" s="16"/>
      <c r="D5" s="89" t="s">
        <v>33</v>
      </c>
      <c r="E5" s="89"/>
      <c r="F5" s="17"/>
      <c r="G5" s="17"/>
      <c r="H5" s="17"/>
      <c r="I5" s="17"/>
      <c r="J5" s="18"/>
      <c r="K5" s="17"/>
    </row>
    <row r="6" spans="1:13" s="74" customFormat="1" x14ac:dyDescent="0.25">
      <c r="A6" s="77" t="s">
        <v>42</v>
      </c>
      <c r="B6" s="77" t="s">
        <v>49</v>
      </c>
      <c r="C6" s="75">
        <v>5159740</v>
      </c>
      <c r="D6" s="76">
        <v>5.6790000000000003</v>
      </c>
      <c r="E6" s="75">
        <f t="shared" ref="E6:E68" si="0">((D6/1000)*C6)</f>
        <v>29302.16346</v>
      </c>
      <c r="F6" s="76">
        <v>0</v>
      </c>
      <c r="G6" s="75">
        <f>C6*F6/1000</f>
        <v>0</v>
      </c>
      <c r="H6" s="76">
        <v>3.5999999999999997E-2</v>
      </c>
      <c r="I6" s="75">
        <f>C6*H6/1000</f>
        <v>185.75063999999998</v>
      </c>
      <c r="J6" s="76">
        <v>5.7530000000000001</v>
      </c>
      <c r="K6" s="75">
        <f t="shared" ref="K6:K68" si="1">E6+G6+I6</f>
        <v>29487.914099999998</v>
      </c>
      <c r="L6" s="77"/>
    </row>
    <row r="7" spans="1:13" x14ac:dyDescent="0.25">
      <c r="A7" t="s">
        <v>42</v>
      </c>
      <c r="B7" t="s">
        <v>51</v>
      </c>
      <c r="C7" s="75">
        <v>8697149495</v>
      </c>
      <c r="D7" s="76">
        <v>5.6790000000000003</v>
      </c>
      <c r="E7" s="75">
        <f t="shared" si="0"/>
        <v>49391111.982105002</v>
      </c>
      <c r="F7" s="76">
        <v>0</v>
      </c>
      <c r="G7" s="75">
        <f t="shared" ref="G7:G69" si="2">C7*F7/1000</f>
        <v>0</v>
      </c>
      <c r="H7" s="76">
        <v>3.5999999999999997E-2</v>
      </c>
      <c r="I7" s="75">
        <f>C7*H7/1000</f>
        <v>313097.38182000001</v>
      </c>
      <c r="J7" s="76">
        <v>5.4130000000000003</v>
      </c>
      <c r="K7" s="75">
        <f t="shared" si="1"/>
        <v>49704209.363925003</v>
      </c>
      <c r="L7" s="77"/>
      <c r="M7" s="74"/>
    </row>
    <row r="8" spans="1:13" x14ac:dyDescent="0.25">
      <c r="A8" t="s">
        <v>76</v>
      </c>
      <c r="B8" t="s">
        <v>77</v>
      </c>
      <c r="C8" s="75">
        <v>424742070</v>
      </c>
      <c r="D8" s="76">
        <v>2.61</v>
      </c>
      <c r="E8" s="75">
        <f t="shared" si="0"/>
        <v>1108576.8026999999</v>
      </c>
      <c r="F8" s="76">
        <v>1.0820000000000001</v>
      </c>
      <c r="G8" s="75">
        <f t="shared" si="2"/>
        <v>459570.91973999998</v>
      </c>
      <c r="H8" s="76">
        <v>3.5000000000000003E-2</v>
      </c>
      <c r="I8" s="75">
        <f t="shared" ref="I8:I71" si="3">C8*H8/1000</f>
        <v>14865.972450000001</v>
      </c>
      <c r="J8" s="76">
        <f>D8+F8+H8</f>
        <v>3.7270000000000003</v>
      </c>
      <c r="K8" s="75">
        <f t="shared" si="1"/>
        <v>1583013.6948899999</v>
      </c>
      <c r="L8" s="74"/>
      <c r="M8" s="74"/>
    </row>
    <row r="9" spans="1:13" x14ac:dyDescent="0.25">
      <c r="A9" t="s">
        <v>76</v>
      </c>
      <c r="B9" t="s">
        <v>10</v>
      </c>
      <c r="C9" s="75">
        <v>299054640</v>
      </c>
      <c r="D9" s="76">
        <v>2.61</v>
      </c>
      <c r="E9" s="75">
        <f t="shared" si="0"/>
        <v>780532.61040000001</v>
      </c>
      <c r="F9" s="76">
        <v>1.0820000000000001</v>
      </c>
      <c r="G9" s="75">
        <f t="shared" si="2"/>
        <v>323577.12048000004</v>
      </c>
      <c r="H9" s="76">
        <v>6.0000000000000001E-3</v>
      </c>
      <c r="I9" s="75">
        <f t="shared" si="3"/>
        <v>1794.3278400000002</v>
      </c>
      <c r="J9" s="76">
        <f>D9+F9+H9</f>
        <v>3.698</v>
      </c>
      <c r="K9" s="75">
        <f t="shared" si="1"/>
        <v>1105904.0587200001</v>
      </c>
      <c r="L9" s="74"/>
      <c r="M9" s="74"/>
    </row>
    <row r="10" spans="1:13" x14ac:dyDescent="0.25">
      <c r="A10" t="s">
        <v>106</v>
      </c>
      <c r="B10" t="s">
        <v>107</v>
      </c>
      <c r="C10" s="75">
        <v>388624361</v>
      </c>
      <c r="D10" s="76">
        <v>2.4</v>
      </c>
      <c r="E10" s="75">
        <f t="shared" si="0"/>
        <v>932698.46639999992</v>
      </c>
      <c r="F10" s="76">
        <v>0</v>
      </c>
      <c r="G10" s="75">
        <f t="shared" si="2"/>
        <v>0</v>
      </c>
      <c r="H10" s="76">
        <v>0</v>
      </c>
      <c r="I10" s="75">
        <f>C10*H10/1000</f>
        <v>0</v>
      </c>
      <c r="J10" s="76">
        <f>D10+F10+H10</f>
        <v>2.4</v>
      </c>
      <c r="K10" s="75">
        <f t="shared" si="1"/>
        <v>932698.46639999992</v>
      </c>
      <c r="L10" s="74"/>
      <c r="M10" s="74"/>
    </row>
    <row r="11" spans="1:13" x14ac:dyDescent="0.25">
      <c r="A11" t="s">
        <v>65</v>
      </c>
      <c r="B11" t="s">
        <v>111</v>
      </c>
      <c r="C11" s="75">
        <v>338887490</v>
      </c>
      <c r="D11" s="76">
        <v>3</v>
      </c>
      <c r="E11" s="75">
        <f t="shared" si="0"/>
        <v>1016662.47</v>
      </c>
      <c r="F11" s="76">
        <v>0</v>
      </c>
      <c r="G11" s="75">
        <f t="shared" si="2"/>
        <v>0</v>
      </c>
      <c r="H11" s="76">
        <v>0</v>
      </c>
      <c r="I11" s="75">
        <f t="shared" si="3"/>
        <v>0</v>
      </c>
      <c r="J11" s="76">
        <f>D11+F11+H11</f>
        <v>3</v>
      </c>
      <c r="K11" s="75">
        <f t="shared" si="1"/>
        <v>1016662.47</v>
      </c>
      <c r="L11" s="74"/>
      <c r="M11" s="74"/>
    </row>
    <row r="12" spans="1:13" x14ac:dyDescent="0.25">
      <c r="A12" t="s">
        <v>36</v>
      </c>
      <c r="B12" t="s">
        <v>31</v>
      </c>
      <c r="C12" s="75">
        <v>1913157930</v>
      </c>
      <c r="D12" s="76">
        <v>3.5459999999999998</v>
      </c>
      <c r="E12" s="75">
        <f t="shared" si="0"/>
        <v>6784058.0197799997</v>
      </c>
      <c r="F12" s="76">
        <v>0</v>
      </c>
      <c r="G12" s="75">
        <f t="shared" si="2"/>
        <v>0</v>
      </c>
      <c r="H12" s="76">
        <v>0</v>
      </c>
      <c r="I12" s="75">
        <f t="shared" si="3"/>
        <v>0</v>
      </c>
      <c r="J12" s="76">
        <v>3.5529999999999999</v>
      </c>
      <c r="K12" s="75">
        <f t="shared" si="1"/>
        <v>6784058.0197799997</v>
      </c>
      <c r="L12" s="74"/>
      <c r="M12" s="74"/>
    </row>
    <row r="13" spans="1:13" x14ac:dyDescent="0.25">
      <c r="A13" t="s">
        <v>66</v>
      </c>
      <c r="B13" t="s">
        <v>37</v>
      </c>
      <c r="C13" s="75">
        <v>84263538</v>
      </c>
      <c r="D13" s="76">
        <v>2</v>
      </c>
      <c r="E13" s="75">
        <f t="shared" si="0"/>
        <v>168527.076</v>
      </c>
      <c r="F13" s="76">
        <v>0</v>
      </c>
      <c r="G13" s="75">
        <f t="shared" si="2"/>
        <v>0</v>
      </c>
      <c r="H13" s="76">
        <v>8.0000000000000002E-3</v>
      </c>
      <c r="I13" s="75">
        <f t="shared" si="3"/>
        <v>674.10830399999998</v>
      </c>
      <c r="J13" s="76">
        <v>1.966</v>
      </c>
      <c r="K13" s="75">
        <f t="shared" si="1"/>
        <v>169201.18430399999</v>
      </c>
      <c r="L13" s="74"/>
      <c r="M13" s="74"/>
    </row>
    <row r="14" spans="1:13" x14ac:dyDescent="0.25">
      <c r="A14" t="s">
        <v>67</v>
      </c>
      <c r="B14" t="s">
        <v>68</v>
      </c>
      <c r="C14" s="75">
        <v>157785276</v>
      </c>
      <c r="D14" s="76">
        <v>0.5</v>
      </c>
      <c r="E14" s="75">
        <f t="shared" si="0"/>
        <v>78892.638000000006</v>
      </c>
      <c r="F14" s="76">
        <v>0</v>
      </c>
      <c r="G14" s="75">
        <f t="shared" si="2"/>
        <v>0</v>
      </c>
      <c r="H14" s="76">
        <v>0</v>
      </c>
      <c r="I14" s="75">
        <f t="shared" si="3"/>
        <v>0</v>
      </c>
      <c r="J14" s="76">
        <f>D14+F14+H14</f>
        <v>0.5</v>
      </c>
      <c r="K14" s="75">
        <f t="shared" si="1"/>
        <v>78892.638000000006</v>
      </c>
      <c r="L14" s="74"/>
      <c r="M14" s="74"/>
    </row>
    <row r="15" spans="1:13" x14ac:dyDescent="0.25">
      <c r="A15" t="s">
        <v>71</v>
      </c>
      <c r="B15" t="s">
        <v>38</v>
      </c>
      <c r="C15" s="75">
        <v>437452580</v>
      </c>
      <c r="D15" s="76">
        <v>3</v>
      </c>
      <c r="E15" s="75">
        <f t="shared" si="0"/>
        <v>1312357.74</v>
      </c>
      <c r="F15" s="76">
        <v>0</v>
      </c>
      <c r="G15" s="75">
        <f t="shared" si="2"/>
        <v>0</v>
      </c>
      <c r="H15" s="76">
        <v>0</v>
      </c>
      <c r="I15" s="75">
        <f t="shared" si="3"/>
        <v>0</v>
      </c>
      <c r="J15" s="76">
        <f>D15+F15+H15</f>
        <v>3</v>
      </c>
      <c r="K15" s="75">
        <f t="shared" si="1"/>
        <v>1312357.74</v>
      </c>
      <c r="L15" s="74"/>
      <c r="M15" s="74"/>
    </row>
    <row r="16" spans="1:13" x14ac:dyDescent="0.25">
      <c r="A16" t="s">
        <v>71</v>
      </c>
      <c r="B16" t="s">
        <v>4</v>
      </c>
      <c r="C16" s="75">
        <v>6445090</v>
      </c>
      <c r="D16" s="76">
        <v>3</v>
      </c>
      <c r="E16" s="75">
        <f t="shared" si="0"/>
        <v>19335.27</v>
      </c>
      <c r="F16" s="76">
        <v>0</v>
      </c>
      <c r="G16" s="75">
        <f t="shared" si="2"/>
        <v>0</v>
      </c>
      <c r="H16" s="76">
        <v>0</v>
      </c>
      <c r="I16" s="75">
        <f t="shared" si="3"/>
        <v>0</v>
      </c>
      <c r="J16" s="76">
        <f>D16+F16+H16</f>
        <v>3</v>
      </c>
      <c r="K16" s="75">
        <f t="shared" si="1"/>
        <v>19335.27</v>
      </c>
      <c r="L16" s="74"/>
      <c r="M16" s="74"/>
    </row>
    <row r="17" spans="1:13" x14ac:dyDescent="0.25">
      <c r="A17" t="s">
        <v>72</v>
      </c>
      <c r="B17" t="s">
        <v>73</v>
      </c>
      <c r="C17" s="75">
        <v>100009935</v>
      </c>
      <c r="D17" s="76">
        <v>1</v>
      </c>
      <c r="E17" s="75">
        <f t="shared" si="0"/>
        <v>100009.935</v>
      </c>
      <c r="F17" s="76">
        <v>0</v>
      </c>
      <c r="G17" s="75">
        <f t="shared" si="2"/>
        <v>0</v>
      </c>
      <c r="H17" s="76">
        <v>0</v>
      </c>
      <c r="I17" s="75">
        <f t="shared" si="3"/>
        <v>0</v>
      </c>
      <c r="J17" s="76">
        <f>D17+F17+H17</f>
        <v>1</v>
      </c>
      <c r="K17" s="75">
        <f t="shared" si="1"/>
        <v>100009.935</v>
      </c>
      <c r="L17" s="74"/>
      <c r="M17" s="74"/>
    </row>
    <row r="18" spans="1:13" x14ac:dyDescent="0.25">
      <c r="A18" t="s">
        <v>1</v>
      </c>
      <c r="B18" t="s">
        <v>2</v>
      </c>
      <c r="C18" s="75">
        <v>63614070</v>
      </c>
      <c r="D18" s="76">
        <v>4.75</v>
      </c>
      <c r="E18" s="75">
        <f t="shared" si="0"/>
        <v>302166.83250000002</v>
      </c>
      <c r="F18" s="76">
        <v>0</v>
      </c>
      <c r="G18" s="75">
        <f t="shared" si="2"/>
        <v>0</v>
      </c>
      <c r="H18" s="76">
        <v>1.4E-2</v>
      </c>
      <c r="I18" s="75">
        <f t="shared" si="3"/>
        <v>890.59698000000003</v>
      </c>
      <c r="J18" s="76">
        <v>4.173</v>
      </c>
      <c r="K18" s="75">
        <f t="shared" si="1"/>
        <v>303057.42947999999</v>
      </c>
      <c r="L18" s="74"/>
      <c r="M18" s="74"/>
    </row>
    <row r="19" spans="1:13" x14ac:dyDescent="0.25">
      <c r="A19" t="s">
        <v>120</v>
      </c>
      <c r="B19" t="s">
        <v>75</v>
      </c>
      <c r="C19" s="75">
        <v>10605926190</v>
      </c>
      <c r="D19" s="76">
        <v>4</v>
      </c>
      <c r="E19" s="75">
        <f t="shared" si="0"/>
        <v>42423704.759999998</v>
      </c>
      <c r="F19" s="76">
        <v>0</v>
      </c>
      <c r="G19" s="75">
        <f t="shared" si="2"/>
        <v>0</v>
      </c>
      <c r="H19" s="76">
        <v>0</v>
      </c>
      <c r="I19" s="75">
        <f t="shared" si="3"/>
        <v>0</v>
      </c>
      <c r="J19" s="76">
        <f t="shared" ref="J19:J25" si="4">D19+F19+H19</f>
        <v>4</v>
      </c>
      <c r="K19" s="75">
        <f t="shared" si="1"/>
        <v>42423704.759999998</v>
      </c>
      <c r="L19" s="74"/>
      <c r="M19" s="74"/>
    </row>
    <row r="20" spans="1:13" x14ac:dyDescent="0.25">
      <c r="A20" t="s">
        <v>78</v>
      </c>
      <c r="B20" t="s">
        <v>77</v>
      </c>
      <c r="C20" s="75">
        <v>3035923850</v>
      </c>
      <c r="D20" s="76">
        <v>2.7629999999999999</v>
      </c>
      <c r="E20" s="75">
        <f t="shared" si="0"/>
        <v>8388257.5975499991</v>
      </c>
      <c r="F20" s="76">
        <v>0</v>
      </c>
      <c r="G20" s="75">
        <f t="shared" si="2"/>
        <v>0</v>
      </c>
      <c r="H20" s="76">
        <v>0</v>
      </c>
      <c r="I20" s="75">
        <f t="shared" si="3"/>
        <v>0</v>
      </c>
      <c r="J20" s="76">
        <f t="shared" si="4"/>
        <v>2.7629999999999999</v>
      </c>
      <c r="K20" s="75">
        <f t="shared" si="1"/>
        <v>8388257.5975499991</v>
      </c>
      <c r="L20" s="74"/>
      <c r="M20" s="74"/>
    </row>
    <row r="21" spans="1:13" x14ac:dyDescent="0.25">
      <c r="A21" t="s">
        <v>63</v>
      </c>
      <c r="B21" t="s">
        <v>64</v>
      </c>
      <c r="C21" s="75">
        <v>91483897</v>
      </c>
      <c r="D21" s="76">
        <v>1</v>
      </c>
      <c r="E21" s="75">
        <f t="shared" si="0"/>
        <v>91483.896999999997</v>
      </c>
      <c r="F21" s="76">
        <v>0</v>
      </c>
      <c r="G21" s="75">
        <f t="shared" si="2"/>
        <v>0</v>
      </c>
      <c r="H21" s="76">
        <v>0</v>
      </c>
      <c r="I21" s="75">
        <f t="shared" si="3"/>
        <v>0</v>
      </c>
      <c r="J21" s="76">
        <f t="shared" si="4"/>
        <v>1</v>
      </c>
      <c r="K21" s="75">
        <f t="shared" si="1"/>
        <v>91483.896999999997</v>
      </c>
      <c r="L21" s="74"/>
      <c r="M21" s="74"/>
    </row>
    <row r="22" spans="1:13" x14ac:dyDescent="0.25">
      <c r="A22" t="s">
        <v>6</v>
      </c>
      <c r="B22" t="s">
        <v>7</v>
      </c>
      <c r="C22" s="75">
        <v>259594990</v>
      </c>
      <c r="D22" s="76">
        <v>3.5</v>
      </c>
      <c r="E22" s="75">
        <f t="shared" si="0"/>
        <v>908582.46499999997</v>
      </c>
      <c r="F22" s="76">
        <v>0</v>
      </c>
      <c r="G22" s="75">
        <f t="shared" si="2"/>
        <v>0</v>
      </c>
      <c r="H22" s="76">
        <v>0</v>
      </c>
      <c r="I22" s="75">
        <f t="shared" si="3"/>
        <v>0</v>
      </c>
      <c r="J22" s="76">
        <f t="shared" si="4"/>
        <v>3.5</v>
      </c>
      <c r="K22" s="75">
        <f t="shared" si="1"/>
        <v>908582.46499999997</v>
      </c>
      <c r="L22" s="74"/>
      <c r="M22" s="74"/>
    </row>
    <row r="23" spans="1:13" x14ac:dyDescent="0.25">
      <c r="A23" t="s">
        <v>21</v>
      </c>
      <c r="B23" t="s">
        <v>22</v>
      </c>
      <c r="C23" s="75">
        <v>1823519900</v>
      </c>
      <c r="D23" s="76">
        <f>3.298-0.5</f>
        <v>2.798</v>
      </c>
      <c r="E23" s="75">
        <f t="shared" si="0"/>
        <v>5102208.6802000003</v>
      </c>
      <c r="F23" s="76">
        <v>0</v>
      </c>
      <c r="G23" s="75">
        <f t="shared" si="2"/>
        <v>0</v>
      </c>
      <c r="H23" s="76">
        <v>0</v>
      </c>
      <c r="I23" s="75">
        <f t="shared" si="3"/>
        <v>0</v>
      </c>
      <c r="J23" s="76">
        <f t="shared" si="4"/>
        <v>2.798</v>
      </c>
      <c r="K23" s="75">
        <f t="shared" si="1"/>
        <v>5102208.6802000003</v>
      </c>
      <c r="L23" s="74"/>
      <c r="M23" s="74"/>
    </row>
    <row r="24" spans="1:13" x14ac:dyDescent="0.25">
      <c r="A24" t="s">
        <v>79</v>
      </c>
      <c r="B24" t="s">
        <v>80</v>
      </c>
      <c r="C24" s="75">
        <v>674082140</v>
      </c>
      <c r="D24" s="76">
        <v>2.516</v>
      </c>
      <c r="E24" s="75">
        <f t="shared" si="0"/>
        <v>1695990.6642400001</v>
      </c>
      <c r="F24" s="76">
        <v>0</v>
      </c>
      <c r="G24" s="75">
        <f t="shared" si="2"/>
        <v>0</v>
      </c>
      <c r="H24" s="76">
        <v>3.0000000000000001E-3</v>
      </c>
      <c r="I24" s="75">
        <f t="shared" si="3"/>
        <v>2022.2464200000002</v>
      </c>
      <c r="J24" s="76">
        <f t="shared" si="4"/>
        <v>2.5190000000000001</v>
      </c>
      <c r="K24" s="75">
        <f t="shared" si="1"/>
        <v>1698012.9106600001</v>
      </c>
      <c r="L24" s="74"/>
      <c r="M24" s="74"/>
    </row>
    <row r="25" spans="1:13" x14ac:dyDescent="0.25">
      <c r="A25" t="s">
        <v>108</v>
      </c>
      <c r="B25" t="s">
        <v>107</v>
      </c>
      <c r="C25" s="75">
        <v>585668139</v>
      </c>
      <c r="D25" s="76">
        <v>4.5199999999999996</v>
      </c>
      <c r="E25" s="75">
        <f t="shared" si="0"/>
        <v>2647219.9882799997</v>
      </c>
      <c r="F25" s="76">
        <v>0</v>
      </c>
      <c r="G25" s="75">
        <f t="shared" si="2"/>
        <v>0</v>
      </c>
      <c r="H25" s="76">
        <v>1.2999999999999999E-2</v>
      </c>
      <c r="I25" s="75">
        <f t="shared" si="3"/>
        <v>7613.6858069999998</v>
      </c>
      <c r="J25" s="76">
        <f t="shared" si="4"/>
        <v>4.5329999999999995</v>
      </c>
      <c r="K25" s="75">
        <f t="shared" si="1"/>
        <v>2654833.6740869996</v>
      </c>
      <c r="L25" s="74"/>
      <c r="M25" s="74"/>
    </row>
    <row r="26" spans="1:13" x14ac:dyDescent="0.25">
      <c r="A26" t="s">
        <v>86</v>
      </c>
      <c r="B26" t="s">
        <v>87</v>
      </c>
      <c r="C26" s="79">
        <v>3009091750</v>
      </c>
      <c r="D26" s="76">
        <v>1.5</v>
      </c>
      <c r="E26" s="75">
        <f t="shared" si="0"/>
        <v>4513637.625</v>
      </c>
      <c r="F26" s="76">
        <v>0</v>
      </c>
      <c r="G26" s="75">
        <f t="shared" si="2"/>
        <v>0</v>
      </c>
      <c r="H26" s="76">
        <f>1+0.006</f>
        <v>1.006</v>
      </c>
      <c r="I26" s="75">
        <f t="shared" si="3"/>
        <v>3027146.3004999999</v>
      </c>
      <c r="J26" s="76">
        <v>2.5019999999999998</v>
      </c>
      <c r="K26" s="75">
        <f t="shared" si="1"/>
        <v>7540783.9254999999</v>
      </c>
      <c r="L26" s="74"/>
      <c r="M26" s="74"/>
    </row>
    <row r="27" spans="1:13" x14ac:dyDescent="0.25">
      <c r="A27" t="s">
        <v>88</v>
      </c>
      <c r="B27" t="s">
        <v>89</v>
      </c>
      <c r="C27" s="75">
        <v>549907150</v>
      </c>
      <c r="D27" s="76">
        <v>0.23899999999999999</v>
      </c>
      <c r="E27" s="75">
        <f t="shared" si="0"/>
        <v>131427.80885</v>
      </c>
      <c r="F27" s="76">
        <v>0</v>
      </c>
      <c r="G27" s="75">
        <f t="shared" si="2"/>
        <v>0</v>
      </c>
      <c r="H27" s="76">
        <v>0.84699999999999998</v>
      </c>
      <c r="I27" s="75">
        <f t="shared" si="3"/>
        <v>465771.35605</v>
      </c>
      <c r="J27" s="76">
        <f t="shared" ref="J27:J47" si="5">D27+F27+H27</f>
        <v>1.0859999999999999</v>
      </c>
      <c r="K27" s="75">
        <f t="shared" si="1"/>
        <v>597199.16489999997</v>
      </c>
      <c r="L27" s="74"/>
      <c r="M27" s="74"/>
    </row>
    <row r="28" spans="1:13" x14ac:dyDescent="0.25">
      <c r="A28" t="s">
        <v>90</v>
      </c>
      <c r="B28" t="s">
        <v>91</v>
      </c>
      <c r="C28" s="75">
        <v>1453729090</v>
      </c>
      <c r="D28" s="76">
        <v>3.36</v>
      </c>
      <c r="E28" s="75">
        <f t="shared" si="0"/>
        <v>4884529.7423999999</v>
      </c>
      <c r="F28" s="76">
        <v>0</v>
      </c>
      <c r="G28" s="75">
        <f t="shared" si="2"/>
        <v>0</v>
      </c>
      <c r="H28" s="76">
        <v>2E-3</v>
      </c>
      <c r="I28" s="75">
        <f t="shared" si="3"/>
        <v>2907.4581800000001</v>
      </c>
      <c r="J28" s="76">
        <f t="shared" si="5"/>
        <v>3.3619999999999997</v>
      </c>
      <c r="K28" s="75">
        <f t="shared" si="1"/>
        <v>4887437.2005799999</v>
      </c>
      <c r="L28" s="74"/>
      <c r="M28" s="74"/>
    </row>
    <row r="29" spans="1:13" x14ac:dyDescent="0.25">
      <c r="A29" t="s">
        <v>92</v>
      </c>
      <c r="B29" t="s">
        <v>93</v>
      </c>
      <c r="C29" s="75">
        <v>1147671470</v>
      </c>
      <c r="D29" s="76">
        <f>2.101-0.067</f>
        <v>2.0339999999999998</v>
      </c>
      <c r="E29" s="75">
        <f t="shared" si="0"/>
        <v>2334363.7699799999</v>
      </c>
      <c r="F29" s="76">
        <v>0</v>
      </c>
      <c r="G29" s="75">
        <f t="shared" si="2"/>
        <v>0</v>
      </c>
      <c r="H29" s="76">
        <v>1E-3</v>
      </c>
      <c r="I29" s="75">
        <f t="shared" si="3"/>
        <v>1147.67147</v>
      </c>
      <c r="J29" s="76">
        <f t="shared" si="5"/>
        <v>2.0349999999999997</v>
      </c>
      <c r="K29" s="75">
        <f t="shared" si="1"/>
        <v>2335511.4414499998</v>
      </c>
      <c r="L29" s="74"/>
      <c r="M29" s="74"/>
    </row>
    <row r="30" spans="1:13" x14ac:dyDescent="0.25">
      <c r="A30" t="s">
        <v>56</v>
      </c>
      <c r="B30" t="s">
        <v>57</v>
      </c>
      <c r="C30" s="75">
        <v>269188948</v>
      </c>
      <c r="D30" s="76">
        <v>3.177</v>
      </c>
      <c r="E30" s="75">
        <f t="shared" si="0"/>
        <v>855213.28779600002</v>
      </c>
      <c r="F30" s="76">
        <v>0</v>
      </c>
      <c r="G30" s="75">
        <f t="shared" si="2"/>
        <v>0</v>
      </c>
      <c r="H30" s="76">
        <v>2E-3</v>
      </c>
      <c r="I30" s="75">
        <f t="shared" si="3"/>
        <v>538.37789600000008</v>
      </c>
      <c r="J30" s="76">
        <f t="shared" si="5"/>
        <v>3.1789999999999998</v>
      </c>
      <c r="K30" s="75">
        <f t="shared" si="1"/>
        <v>855751.66569200007</v>
      </c>
      <c r="L30" s="74"/>
      <c r="M30" s="74"/>
    </row>
    <row r="31" spans="1:13" x14ac:dyDescent="0.25">
      <c r="A31" t="s">
        <v>56</v>
      </c>
      <c r="B31" t="s">
        <v>31</v>
      </c>
      <c r="C31" s="75">
        <v>17137162140</v>
      </c>
      <c r="D31" s="76">
        <v>3.177</v>
      </c>
      <c r="E31" s="75">
        <f t="shared" si="0"/>
        <v>54444764.118780002</v>
      </c>
      <c r="F31" s="76">
        <v>0</v>
      </c>
      <c r="G31" s="75">
        <f t="shared" si="2"/>
        <v>0</v>
      </c>
      <c r="H31" s="76">
        <v>2E-3</v>
      </c>
      <c r="I31" s="75">
        <f t="shared" si="3"/>
        <v>34274.324280000001</v>
      </c>
      <c r="J31" s="76">
        <f t="shared" si="5"/>
        <v>3.1789999999999998</v>
      </c>
      <c r="K31" s="75">
        <f t="shared" si="1"/>
        <v>54479038.443060003</v>
      </c>
      <c r="L31" s="74"/>
      <c r="M31" s="74"/>
    </row>
    <row r="32" spans="1:13" x14ac:dyDescent="0.25">
      <c r="A32" t="s">
        <v>125</v>
      </c>
      <c r="B32" t="s">
        <v>94</v>
      </c>
      <c r="C32" s="75">
        <v>49839620</v>
      </c>
      <c r="D32" s="76">
        <v>1.75</v>
      </c>
      <c r="E32" s="75">
        <f t="shared" si="0"/>
        <v>87219.335000000006</v>
      </c>
      <c r="F32" s="76">
        <v>0</v>
      </c>
      <c r="G32" s="75">
        <f t="shared" si="2"/>
        <v>0</v>
      </c>
      <c r="H32" s="76">
        <v>0</v>
      </c>
      <c r="I32" s="75">
        <f t="shared" si="3"/>
        <v>0</v>
      </c>
      <c r="J32" s="76">
        <f t="shared" si="5"/>
        <v>1.75</v>
      </c>
      <c r="K32" s="75">
        <f t="shared" si="1"/>
        <v>87219.335000000006</v>
      </c>
      <c r="L32" s="74"/>
      <c r="M32" s="74"/>
    </row>
    <row r="33" spans="1:13" x14ac:dyDescent="0.25">
      <c r="A33" t="s">
        <v>103</v>
      </c>
      <c r="B33" t="s">
        <v>104</v>
      </c>
      <c r="C33" s="75">
        <v>234921510</v>
      </c>
      <c r="D33" s="76">
        <v>1.5</v>
      </c>
      <c r="E33" s="75">
        <f t="shared" si="0"/>
        <v>352382.26500000001</v>
      </c>
      <c r="F33" s="76">
        <v>0</v>
      </c>
      <c r="G33" s="75">
        <f t="shared" si="2"/>
        <v>0</v>
      </c>
      <c r="H33" s="76">
        <v>0</v>
      </c>
      <c r="I33" s="75">
        <f t="shared" si="3"/>
        <v>0</v>
      </c>
      <c r="J33" s="76">
        <f t="shared" si="5"/>
        <v>1.5</v>
      </c>
      <c r="K33" s="75">
        <f t="shared" si="1"/>
        <v>352382.26500000001</v>
      </c>
      <c r="L33" s="74"/>
      <c r="M33" s="74"/>
    </row>
    <row r="34" spans="1:13" x14ac:dyDescent="0.25">
      <c r="A34" t="s">
        <v>112</v>
      </c>
      <c r="B34" t="s">
        <v>98</v>
      </c>
      <c r="C34" s="75">
        <v>99974962</v>
      </c>
      <c r="D34" s="76">
        <f>1.412-0.038</f>
        <v>1.3739999999999999</v>
      </c>
      <c r="E34" s="75">
        <f t="shared" si="0"/>
        <v>137365.59778799998</v>
      </c>
      <c r="F34" s="76">
        <v>0</v>
      </c>
      <c r="G34" s="75">
        <f t="shared" si="2"/>
        <v>0</v>
      </c>
      <c r="H34" s="76">
        <v>0</v>
      </c>
      <c r="I34" s="75">
        <f t="shared" si="3"/>
        <v>0</v>
      </c>
      <c r="J34" s="76">
        <f t="shared" si="5"/>
        <v>1.3739999999999999</v>
      </c>
      <c r="K34" s="75">
        <f t="shared" si="1"/>
        <v>137365.59778799998</v>
      </c>
      <c r="L34" s="74"/>
      <c r="M34" s="74"/>
    </row>
    <row r="35" spans="1:13" x14ac:dyDescent="0.25">
      <c r="A35" s="100" t="s">
        <v>99</v>
      </c>
      <c r="B35" t="s">
        <v>100</v>
      </c>
      <c r="C35" s="75">
        <v>13893565050</v>
      </c>
      <c r="D35" s="76">
        <v>0</v>
      </c>
      <c r="E35" s="75">
        <f t="shared" si="0"/>
        <v>0</v>
      </c>
      <c r="F35" s="76">
        <v>0</v>
      </c>
      <c r="G35" s="75">
        <f t="shared" si="2"/>
        <v>0</v>
      </c>
      <c r="H35" s="76">
        <v>4.5</v>
      </c>
      <c r="I35" s="75">
        <f t="shared" si="3"/>
        <v>62521042.725000001</v>
      </c>
      <c r="J35" s="76">
        <f t="shared" si="5"/>
        <v>4.5</v>
      </c>
      <c r="K35" s="75">
        <f t="shared" si="1"/>
        <v>62521042.725000001</v>
      </c>
      <c r="L35" s="74"/>
      <c r="M35" s="74"/>
    </row>
    <row r="36" spans="1:13" x14ac:dyDescent="0.25">
      <c r="A36" t="s">
        <v>83</v>
      </c>
      <c r="B36" t="s">
        <v>84</v>
      </c>
      <c r="C36" s="75">
        <v>125227488</v>
      </c>
      <c r="D36" s="76">
        <v>2</v>
      </c>
      <c r="E36" s="75">
        <f t="shared" si="0"/>
        <v>250454.976</v>
      </c>
      <c r="F36" s="76">
        <v>0</v>
      </c>
      <c r="G36" s="75">
        <f t="shared" si="2"/>
        <v>0</v>
      </c>
      <c r="H36" s="76">
        <v>7.0000000000000001E-3</v>
      </c>
      <c r="I36" s="75">
        <f t="shared" si="3"/>
        <v>876.59241599999996</v>
      </c>
      <c r="J36" s="76">
        <f t="shared" si="5"/>
        <v>2.0070000000000001</v>
      </c>
      <c r="K36" s="75">
        <f t="shared" si="1"/>
        <v>251331.56841599999</v>
      </c>
      <c r="L36" s="74"/>
      <c r="M36" s="74"/>
    </row>
    <row r="37" spans="1:13" x14ac:dyDescent="0.25">
      <c r="A37" t="s">
        <v>101</v>
      </c>
      <c r="B37" t="s">
        <v>102</v>
      </c>
      <c r="C37" s="75">
        <v>39420174</v>
      </c>
      <c r="D37" s="76">
        <v>1.5</v>
      </c>
      <c r="E37" s="75">
        <f t="shared" si="0"/>
        <v>59130.260999999999</v>
      </c>
      <c r="F37" s="76">
        <v>0</v>
      </c>
      <c r="G37" s="75">
        <f t="shared" si="2"/>
        <v>0</v>
      </c>
      <c r="H37" s="76">
        <v>0</v>
      </c>
      <c r="I37" s="75">
        <f t="shared" si="3"/>
        <v>0</v>
      </c>
      <c r="J37" s="76">
        <f t="shared" si="5"/>
        <v>1.5</v>
      </c>
      <c r="K37" s="75">
        <f t="shared" si="1"/>
        <v>59130.260999999999</v>
      </c>
      <c r="L37" s="74"/>
      <c r="M37" s="74"/>
    </row>
    <row r="38" spans="1:13" x14ac:dyDescent="0.25">
      <c r="A38" t="s">
        <v>95</v>
      </c>
      <c r="B38" t="s">
        <v>96</v>
      </c>
      <c r="C38" s="75">
        <v>35568617</v>
      </c>
      <c r="D38" s="76">
        <v>6.1669999999999998</v>
      </c>
      <c r="E38" s="75">
        <f t="shared" si="0"/>
        <v>219351.661039</v>
      </c>
      <c r="F38" s="76">
        <v>0</v>
      </c>
      <c r="G38" s="75">
        <f t="shared" si="2"/>
        <v>0</v>
      </c>
      <c r="H38" s="76">
        <v>1.4999999999999999E-2</v>
      </c>
      <c r="I38" s="75">
        <f t="shared" si="3"/>
        <v>533.52925500000003</v>
      </c>
      <c r="J38" s="76">
        <f t="shared" si="5"/>
        <v>6.1819999999999995</v>
      </c>
      <c r="K38" s="75">
        <f t="shared" si="1"/>
        <v>219885.190294</v>
      </c>
      <c r="L38" s="74"/>
      <c r="M38" s="74"/>
    </row>
    <row r="39" spans="1:13" x14ac:dyDescent="0.25">
      <c r="A39" t="s">
        <v>54</v>
      </c>
      <c r="B39" t="s">
        <v>55</v>
      </c>
      <c r="C39" s="75">
        <v>71745791</v>
      </c>
      <c r="D39" s="76">
        <v>1.5</v>
      </c>
      <c r="E39" s="75">
        <f t="shared" si="0"/>
        <v>107618.6865</v>
      </c>
      <c r="F39" s="76">
        <v>0</v>
      </c>
      <c r="G39" s="75">
        <f t="shared" si="2"/>
        <v>0</v>
      </c>
      <c r="H39" s="76">
        <v>0</v>
      </c>
      <c r="I39" s="75">
        <f t="shared" si="3"/>
        <v>0</v>
      </c>
      <c r="J39" s="76">
        <f t="shared" si="5"/>
        <v>1.5</v>
      </c>
      <c r="K39" s="75">
        <f t="shared" si="1"/>
        <v>107618.6865</v>
      </c>
      <c r="L39" s="74"/>
      <c r="M39" s="74"/>
    </row>
    <row r="40" spans="1:13" x14ac:dyDescent="0.25">
      <c r="A40" t="s">
        <v>131</v>
      </c>
      <c r="B40" t="s">
        <v>132</v>
      </c>
      <c r="C40" s="75">
        <v>174858262</v>
      </c>
      <c r="D40" s="76">
        <v>0.25</v>
      </c>
      <c r="E40" s="75">
        <f t="shared" si="0"/>
        <v>43714.565500000004</v>
      </c>
      <c r="F40" s="76">
        <v>0</v>
      </c>
      <c r="G40" s="75">
        <f t="shared" si="2"/>
        <v>0</v>
      </c>
      <c r="H40" s="76">
        <v>0</v>
      </c>
      <c r="I40" s="75">
        <f t="shared" si="3"/>
        <v>0</v>
      </c>
      <c r="J40" s="76">
        <f t="shared" si="5"/>
        <v>0.25</v>
      </c>
      <c r="K40" s="75">
        <f t="shared" si="1"/>
        <v>43714.565500000004</v>
      </c>
      <c r="L40" s="74"/>
      <c r="M40" s="74"/>
    </row>
    <row r="41" spans="1:13" ht="16.149999999999999" customHeight="1" x14ac:dyDescent="0.25">
      <c r="A41" t="s">
        <v>118</v>
      </c>
      <c r="B41" t="s">
        <v>57</v>
      </c>
      <c r="C41" s="79">
        <v>106767519</v>
      </c>
      <c r="D41" s="76">
        <v>5.85</v>
      </c>
      <c r="E41" s="75">
        <f t="shared" si="0"/>
        <v>624589.9861499999</v>
      </c>
      <c r="F41" s="76">
        <v>0</v>
      </c>
      <c r="G41" s="75">
        <f t="shared" si="2"/>
        <v>0</v>
      </c>
      <c r="H41" s="76">
        <v>1.7999999999999999E-2</v>
      </c>
      <c r="I41" s="75">
        <f t="shared" si="3"/>
        <v>1921.8153419999999</v>
      </c>
      <c r="J41" s="76">
        <f t="shared" si="5"/>
        <v>5.8679999999999994</v>
      </c>
      <c r="K41" s="75">
        <f t="shared" si="1"/>
        <v>626511.80149199988</v>
      </c>
      <c r="L41" s="74"/>
      <c r="M41" s="74"/>
    </row>
    <row r="42" spans="1:13" x14ac:dyDescent="0.25">
      <c r="A42" t="s">
        <v>118</v>
      </c>
      <c r="B42" t="s">
        <v>119</v>
      </c>
      <c r="C42" s="75">
        <v>21778928</v>
      </c>
      <c r="D42" s="76">
        <v>5.85</v>
      </c>
      <c r="E42" s="75">
        <f t="shared" si="0"/>
        <v>127406.72879999998</v>
      </c>
      <c r="F42" s="76">
        <v>0</v>
      </c>
      <c r="G42" s="75">
        <f t="shared" si="2"/>
        <v>0</v>
      </c>
      <c r="H42" s="76">
        <v>1.7999999999999999E-2</v>
      </c>
      <c r="I42" s="75">
        <f t="shared" si="3"/>
        <v>392.02070399999997</v>
      </c>
      <c r="J42" s="76">
        <f t="shared" si="5"/>
        <v>5.8679999999999994</v>
      </c>
      <c r="K42" s="75">
        <f t="shared" si="1"/>
        <v>127798.74950399998</v>
      </c>
      <c r="L42" s="74"/>
      <c r="M42" s="74"/>
    </row>
    <row r="43" spans="1:13" x14ac:dyDescent="0.25">
      <c r="A43" t="s">
        <v>3</v>
      </c>
      <c r="B43" t="s">
        <v>2</v>
      </c>
      <c r="C43" s="75">
        <v>56084690</v>
      </c>
      <c r="D43" s="76">
        <v>8</v>
      </c>
      <c r="E43" s="75">
        <f t="shared" si="0"/>
        <v>448677.52</v>
      </c>
      <c r="F43" s="76">
        <v>0</v>
      </c>
      <c r="G43" s="75">
        <f t="shared" si="2"/>
        <v>0</v>
      </c>
      <c r="H43" s="76">
        <v>0</v>
      </c>
      <c r="I43" s="75">
        <f t="shared" si="3"/>
        <v>0</v>
      </c>
      <c r="J43" s="76">
        <f t="shared" si="5"/>
        <v>8</v>
      </c>
      <c r="K43" s="75">
        <f t="shared" si="1"/>
        <v>448677.52</v>
      </c>
      <c r="L43" s="74"/>
      <c r="M43" s="74"/>
    </row>
    <row r="44" spans="1:13" x14ac:dyDescent="0.25">
      <c r="A44" t="s">
        <v>16</v>
      </c>
      <c r="B44" t="s">
        <v>17</v>
      </c>
      <c r="C44" s="75">
        <v>503171210</v>
      </c>
      <c r="D44" s="76">
        <f>2.032-1.932</f>
        <v>0.10000000000000009</v>
      </c>
      <c r="E44" s="75">
        <f t="shared" si="0"/>
        <v>50317.121000000043</v>
      </c>
      <c r="F44" s="76">
        <v>0</v>
      </c>
      <c r="G44" s="75">
        <f t="shared" si="2"/>
        <v>0</v>
      </c>
      <c r="H44" s="76">
        <v>0</v>
      </c>
      <c r="I44" s="75">
        <f t="shared" si="3"/>
        <v>0</v>
      </c>
      <c r="J44" s="76">
        <f t="shared" si="5"/>
        <v>0.10000000000000009</v>
      </c>
      <c r="K44" s="75">
        <f t="shared" si="1"/>
        <v>50317.121000000043</v>
      </c>
      <c r="L44" s="74"/>
      <c r="M44" s="74"/>
    </row>
    <row r="45" spans="1:13" x14ac:dyDescent="0.25">
      <c r="A45" t="s">
        <v>110</v>
      </c>
      <c r="B45" t="s">
        <v>0</v>
      </c>
      <c r="C45" s="75">
        <v>2772081030</v>
      </c>
      <c r="D45" s="76">
        <v>3</v>
      </c>
      <c r="E45" s="75">
        <f t="shared" si="0"/>
        <v>8316243.0899999999</v>
      </c>
      <c r="F45" s="76">
        <v>0</v>
      </c>
      <c r="G45" s="75">
        <f t="shared" si="2"/>
        <v>0</v>
      </c>
      <c r="H45" s="76">
        <v>5.0000000000000001E-3</v>
      </c>
      <c r="I45" s="75">
        <f t="shared" si="3"/>
        <v>13860.405150000001</v>
      </c>
      <c r="J45" s="76">
        <f t="shared" si="5"/>
        <v>3.0049999999999999</v>
      </c>
      <c r="K45" s="75">
        <f t="shared" si="1"/>
        <v>8330103.4951499999</v>
      </c>
      <c r="L45" s="74"/>
      <c r="M45" s="74"/>
    </row>
    <row r="46" spans="1:13" x14ac:dyDescent="0.25">
      <c r="A46" t="s">
        <v>5</v>
      </c>
      <c r="B46" t="s">
        <v>4</v>
      </c>
      <c r="C46" s="75">
        <v>863532131</v>
      </c>
      <c r="D46" s="76">
        <v>3.85</v>
      </c>
      <c r="E46" s="75">
        <f t="shared" si="0"/>
        <v>3324598.7043500002</v>
      </c>
      <c r="F46" s="76">
        <v>0</v>
      </c>
      <c r="G46" s="75">
        <f t="shared" si="2"/>
        <v>0</v>
      </c>
      <c r="H46" s="76">
        <v>0</v>
      </c>
      <c r="I46" s="75">
        <f t="shared" si="3"/>
        <v>0</v>
      </c>
      <c r="J46" s="76">
        <f t="shared" si="5"/>
        <v>3.85</v>
      </c>
      <c r="K46" s="75">
        <f t="shared" si="1"/>
        <v>3324598.7043500002</v>
      </c>
      <c r="L46" s="74"/>
      <c r="M46" s="74"/>
    </row>
    <row r="47" spans="1:13" x14ac:dyDescent="0.25">
      <c r="A47" t="s">
        <v>58</v>
      </c>
      <c r="B47" t="s">
        <v>57</v>
      </c>
      <c r="C47" s="75">
        <v>117098288</v>
      </c>
      <c r="D47" s="76">
        <v>4.4000000000000004</v>
      </c>
      <c r="E47" s="75">
        <f t="shared" si="0"/>
        <v>515232.46720000001</v>
      </c>
      <c r="F47" s="76">
        <v>1.179</v>
      </c>
      <c r="G47" s="75">
        <f t="shared" si="2"/>
        <v>138058.88155200001</v>
      </c>
      <c r="H47" s="76">
        <v>0</v>
      </c>
      <c r="I47" s="75">
        <f t="shared" si="3"/>
        <v>0</v>
      </c>
      <c r="J47" s="76">
        <f t="shared" si="5"/>
        <v>5.5790000000000006</v>
      </c>
      <c r="K47" s="75">
        <f t="shared" si="1"/>
        <v>653291.34875200002</v>
      </c>
      <c r="L47" s="74"/>
      <c r="M47" s="74"/>
    </row>
    <row r="48" spans="1:13" x14ac:dyDescent="0.25">
      <c r="A48" t="s">
        <v>136</v>
      </c>
      <c r="B48" t="s">
        <v>135</v>
      </c>
      <c r="C48" s="75">
        <v>259405</v>
      </c>
      <c r="D48" s="76">
        <v>0</v>
      </c>
      <c r="E48" s="75">
        <f t="shared" si="0"/>
        <v>0</v>
      </c>
      <c r="F48" s="76">
        <v>1.179</v>
      </c>
      <c r="G48" s="75">
        <f t="shared" si="2"/>
        <v>305.83849500000002</v>
      </c>
      <c r="H48" s="76">
        <v>0</v>
      </c>
      <c r="I48" s="75">
        <f t="shared" si="3"/>
        <v>0</v>
      </c>
      <c r="J48" s="76">
        <v>1.427</v>
      </c>
      <c r="K48" s="75">
        <f t="shared" si="1"/>
        <v>305.83849500000002</v>
      </c>
      <c r="L48" s="74"/>
      <c r="M48" s="74"/>
    </row>
    <row r="49" spans="1:13" x14ac:dyDescent="0.25">
      <c r="A49" t="s">
        <v>59</v>
      </c>
      <c r="B49" t="s">
        <v>60</v>
      </c>
      <c r="C49" s="75">
        <v>415042480</v>
      </c>
      <c r="D49" s="76">
        <v>3.7</v>
      </c>
      <c r="E49" s="75">
        <f t="shared" si="0"/>
        <v>1535657.176</v>
      </c>
      <c r="F49" s="76">
        <v>0</v>
      </c>
      <c r="G49" s="75">
        <f t="shared" si="2"/>
        <v>0</v>
      </c>
      <c r="H49" s="76">
        <v>0</v>
      </c>
      <c r="I49" s="75">
        <f t="shared" si="3"/>
        <v>0</v>
      </c>
      <c r="J49" s="76">
        <f t="shared" ref="J49:J61" si="6">D49+F49+H49</f>
        <v>3.7</v>
      </c>
      <c r="K49" s="75">
        <f t="shared" si="1"/>
        <v>1535657.176</v>
      </c>
      <c r="L49" s="74"/>
      <c r="M49" s="74"/>
    </row>
    <row r="50" spans="1:13" x14ac:dyDescent="0.25">
      <c r="A50" t="s">
        <v>133</v>
      </c>
      <c r="B50" t="s">
        <v>134</v>
      </c>
      <c r="C50" s="75">
        <v>76204803</v>
      </c>
      <c r="D50" s="76">
        <v>5.1230000000000002</v>
      </c>
      <c r="E50" s="75">
        <f t="shared" si="0"/>
        <v>390397.20576899999</v>
      </c>
      <c r="F50" s="76">
        <v>0</v>
      </c>
      <c r="G50" s="75">
        <f t="shared" si="2"/>
        <v>0</v>
      </c>
      <c r="H50" s="76">
        <v>0</v>
      </c>
      <c r="I50" s="75">
        <f t="shared" si="3"/>
        <v>0</v>
      </c>
      <c r="J50" s="76">
        <f t="shared" si="6"/>
        <v>5.1230000000000002</v>
      </c>
      <c r="K50" s="75">
        <f t="shared" si="1"/>
        <v>390397.20576899999</v>
      </c>
      <c r="L50" s="74"/>
      <c r="M50" s="74"/>
    </row>
    <row r="51" spans="1:13" x14ac:dyDescent="0.25">
      <c r="A51" t="s">
        <v>122</v>
      </c>
      <c r="B51" t="s">
        <v>8</v>
      </c>
      <c r="C51" s="75">
        <v>101753600</v>
      </c>
      <c r="D51" s="76">
        <v>1.57</v>
      </c>
      <c r="E51" s="75">
        <f t="shared" si="0"/>
        <v>159753.152</v>
      </c>
      <c r="F51" s="76">
        <v>0</v>
      </c>
      <c r="G51" s="75">
        <f t="shared" si="2"/>
        <v>0</v>
      </c>
      <c r="H51" s="76">
        <v>0</v>
      </c>
      <c r="I51" s="75">
        <f t="shared" si="3"/>
        <v>0</v>
      </c>
      <c r="J51" s="76">
        <f t="shared" si="6"/>
        <v>1.57</v>
      </c>
      <c r="K51" s="75">
        <f t="shared" si="1"/>
        <v>159753.152</v>
      </c>
      <c r="L51" s="74"/>
      <c r="M51" s="74"/>
    </row>
    <row r="52" spans="1:13" ht="14.25" customHeight="1" x14ac:dyDescent="0.25">
      <c r="A52" t="s">
        <v>85</v>
      </c>
      <c r="B52" t="s">
        <v>84</v>
      </c>
      <c r="C52" s="75">
        <v>45598264</v>
      </c>
      <c r="D52" s="76">
        <v>5.508</v>
      </c>
      <c r="E52" s="75">
        <f t="shared" si="0"/>
        <v>251155.23811199999</v>
      </c>
      <c r="F52" s="76">
        <v>0</v>
      </c>
      <c r="G52" s="75">
        <f t="shared" si="2"/>
        <v>0</v>
      </c>
      <c r="H52" s="76">
        <v>0</v>
      </c>
      <c r="I52" s="75">
        <f t="shared" si="3"/>
        <v>0</v>
      </c>
      <c r="J52" s="76">
        <f t="shared" si="6"/>
        <v>5.508</v>
      </c>
      <c r="K52" s="75">
        <f t="shared" si="1"/>
        <v>251155.23811199999</v>
      </c>
      <c r="L52" s="74"/>
      <c r="M52" s="74"/>
    </row>
    <row r="53" spans="1:13" x14ac:dyDescent="0.25">
      <c r="A53" t="s">
        <v>81</v>
      </c>
      <c r="B53" t="s">
        <v>82</v>
      </c>
      <c r="C53" s="75">
        <v>11995576120</v>
      </c>
      <c r="D53" s="76">
        <f>4-0.867</f>
        <v>3.133</v>
      </c>
      <c r="E53" s="75">
        <f t="shared" si="0"/>
        <v>37582139.983960003</v>
      </c>
      <c r="F53" s="76">
        <v>0</v>
      </c>
      <c r="G53" s="75">
        <f t="shared" si="2"/>
        <v>0</v>
      </c>
      <c r="H53" s="76">
        <v>7.0000000000000001E-3</v>
      </c>
      <c r="I53" s="75">
        <f t="shared" si="3"/>
        <v>83969.03284</v>
      </c>
      <c r="J53" s="76">
        <f t="shared" si="6"/>
        <v>3.14</v>
      </c>
      <c r="K53" s="75">
        <f t="shared" si="1"/>
        <v>37666109.016800001</v>
      </c>
      <c r="L53" s="74"/>
      <c r="M53" s="74"/>
    </row>
    <row r="54" spans="1:13" x14ac:dyDescent="0.25">
      <c r="A54" t="s">
        <v>105</v>
      </c>
      <c r="B54" t="s">
        <v>104</v>
      </c>
      <c r="C54" s="75">
        <v>229982450</v>
      </c>
      <c r="D54" s="76">
        <v>4</v>
      </c>
      <c r="E54" s="75">
        <f t="shared" si="0"/>
        <v>919929.8</v>
      </c>
      <c r="F54" s="76">
        <v>0</v>
      </c>
      <c r="G54" s="75">
        <f t="shared" si="2"/>
        <v>0</v>
      </c>
      <c r="H54" s="76">
        <v>0</v>
      </c>
      <c r="I54" s="75">
        <f t="shared" si="3"/>
        <v>0</v>
      </c>
      <c r="J54" s="76">
        <f t="shared" si="6"/>
        <v>4</v>
      </c>
      <c r="K54" s="75">
        <f t="shared" si="1"/>
        <v>919929.8</v>
      </c>
      <c r="L54" s="74"/>
      <c r="M54" s="74"/>
    </row>
    <row r="55" spans="1:13" x14ac:dyDescent="0.25">
      <c r="A55" t="s">
        <v>11</v>
      </c>
      <c r="B55" t="s">
        <v>10</v>
      </c>
      <c r="C55" s="75">
        <v>5385766730</v>
      </c>
      <c r="D55" s="76">
        <f>1.625-0.589</f>
        <v>1.036</v>
      </c>
      <c r="E55" s="75">
        <f t="shared" si="0"/>
        <v>5579654.3322799997</v>
      </c>
      <c r="F55" s="76">
        <v>0</v>
      </c>
      <c r="G55" s="75">
        <f t="shared" si="2"/>
        <v>0</v>
      </c>
      <c r="H55" s="76">
        <v>5.0000000000000001E-3</v>
      </c>
      <c r="I55" s="75">
        <f t="shared" si="3"/>
        <v>26928.83365</v>
      </c>
      <c r="J55" s="76">
        <f t="shared" si="6"/>
        <v>1.0409999999999999</v>
      </c>
      <c r="K55" s="75">
        <f t="shared" si="1"/>
        <v>5606583.1659300001</v>
      </c>
      <c r="L55" s="74"/>
      <c r="M55" s="74"/>
    </row>
    <row r="56" spans="1:13" x14ac:dyDescent="0.25">
      <c r="A56" t="s">
        <v>35</v>
      </c>
      <c r="B56" t="s">
        <v>107</v>
      </c>
      <c r="C56" s="75">
        <v>5030558338</v>
      </c>
      <c r="D56" s="76">
        <v>3</v>
      </c>
      <c r="E56" s="75">
        <f t="shared" si="0"/>
        <v>15091675.014</v>
      </c>
      <c r="F56" s="76">
        <v>0</v>
      </c>
      <c r="G56" s="75">
        <f t="shared" si="2"/>
        <v>0</v>
      </c>
      <c r="H56" s="76">
        <v>1.4999999999999999E-2</v>
      </c>
      <c r="I56" s="75">
        <f t="shared" si="3"/>
        <v>75458.375069999995</v>
      </c>
      <c r="J56" s="76">
        <f t="shared" si="6"/>
        <v>3.0150000000000001</v>
      </c>
      <c r="K56" s="75">
        <f t="shared" si="1"/>
        <v>15167133.38907</v>
      </c>
      <c r="L56" s="74"/>
      <c r="M56" s="74"/>
    </row>
    <row r="57" spans="1:13" x14ac:dyDescent="0.25">
      <c r="A57" t="s">
        <v>14</v>
      </c>
      <c r="B57" t="s">
        <v>15</v>
      </c>
      <c r="C57" s="75">
        <v>2437631698</v>
      </c>
      <c r="D57" s="76">
        <v>5.85</v>
      </c>
      <c r="E57" s="75">
        <f t="shared" si="0"/>
        <v>14260145.433299998</v>
      </c>
      <c r="F57" s="76">
        <v>0</v>
      </c>
      <c r="G57" s="75">
        <f t="shared" si="2"/>
        <v>0</v>
      </c>
      <c r="H57" s="76">
        <f>0.325+0.022</f>
        <v>0.34700000000000003</v>
      </c>
      <c r="I57" s="75">
        <f t="shared" si="3"/>
        <v>845858.19920600008</v>
      </c>
      <c r="J57" s="76">
        <f t="shared" si="6"/>
        <v>6.1970000000000001</v>
      </c>
      <c r="K57" s="75">
        <f t="shared" si="1"/>
        <v>15106003.632505998</v>
      </c>
      <c r="L57" s="74"/>
      <c r="M57" s="74"/>
    </row>
    <row r="58" spans="1:13" x14ac:dyDescent="0.25">
      <c r="A58" t="s">
        <v>28</v>
      </c>
      <c r="B58" t="s">
        <v>29</v>
      </c>
      <c r="C58" s="75">
        <v>427789260</v>
      </c>
      <c r="D58" s="76">
        <v>4.1189999999999998</v>
      </c>
      <c r="E58" s="75">
        <f t="shared" si="0"/>
        <v>1762063.9619399998</v>
      </c>
      <c r="F58" s="76">
        <v>0</v>
      </c>
      <c r="G58" s="75">
        <f t="shared" si="2"/>
        <v>0</v>
      </c>
      <c r="H58" s="76">
        <v>5.6000000000000001E-2</v>
      </c>
      <c r="I58" s="75">
        <f t="shared" si="3"/>
        <v>23956.198559999997</v>
      </c>
      <c r="J58" s="76">
        <f t="shared" si="6"/>
        <v>4.1749999999999998</v>
      </c>
      <c r="K58" s="75">
        <f t="shared" si="1"/>
        <v>1786020.1604999998</v>
      </c>
      <c r="L58" s="74"/>
      <c r="M58" s="74"/>
    </row>
    <row r="59" spans="1:13" x14ac:dyDescent="0.25">
      <c r="A59" t="s">
        <v>18</v>
      </c>
      <c r="B59" t="s">
        <v>17</v>
      </c>
      <c r="C59" s="75">
        <v>282111270</v>
      </c>
      <c r="D59" s="76">
        <v>0.5</v>
      </c>
      <c r="E59" s="75">
        <f t="shared" si="0"/>
        <v>141055.63500000001</v>
      </c>
      <c r="F59" s="76">
        <v>0</v>
      </c>
      <c r="G59" s="75">
        <f t="shared" si="2"/>
        <v>0</v>
      </c>
      <c r="H59" s="76">
        <v>0</v>
      </c>
      <c r="I59" s="75">
        <f t="shared" si="3"/>
        <v>0</v>
      </c>
      <c r="J59" s="76">
        <f t="shared" si="6"/>
        <v>0.5</v>
      </c>
      <c r="K59" s="75">
        <f t="shared" si="1"/>
        <v>141055.63500000001</v>
      </c>
      <c r="L59" s="74"/>
      <c r="M59" s="74"/>
    </row>
    <row r="60" spans="1:13" x14ac:dyDescent="0.25">
      <c r="A60" t="s">
        <v>50</v>
      </c>
      <c r="B60" t="s">
        <v>49</v>
      </c>
      <c r="C60" s="75">
        <v>9750898530</v>
      </c>
      <c r="D60" s="76">
        <v>3.6469999999999998</v>
      </c>
      <c r="E60" s="75">
        <f t="shared" si="0"/>
        <v>35561526.93891</v>
      </c>
      <c r="F60" s="76">
        <v>0</v>
      </c>
      <c r="G60" s="75">
        <f t="shared" si="2"/>
        <v>0</v>
      </c>
      <c r="H60" s="76">
        <v>0.02</v>
      </c>
      <c r="I60" s="75">
        <f t="shared" si="3"/>
        <v>195017.9706</v>
      </c>
      <c r="J60" s="76">
        <f t="shared" si="6"/>
        <v>3.6669999999999998</v>
      </c>
      <c r="K60" s="75">
        <f t="shared" si="1"/>
        <v>35756544.909510002</v>
      </c>
      <c r="L60" s="74"/>
      <c r="M60" s="74"/>
    </row>
    <row r="61" spans="1:13" x14ac:dyDescent="0.25">
      <c r="A61" t="s">
        <v>109</v>
      </c>
      <c r="B61" t="s">
        <v>107</v>
      </c>
      <c r="C61" s="75">
        <v>112274246</v>
      </c>
      <c r="D61" s="76">
        <v>4.75</v>
      </c>
      <c r="E61" s="75">
        <f t="shared" si="0"/>
        <v>533302.66850000003</v>
      </c>
      <c r="F61" s="76">
        <v>0</v>
      </c>
      <c r="G61" s="75">
        <f t="shared" si="2"/>
        <v>0</v>
      </c>
      <c r="H61" s="76">
        <v>0</v>
      </c>
      <c r="I61" s="75">
        <f t="shared" si="3"/>
        <v>0</v>
      </c>
      <c r="J61" s="76">
        <f t="shared" si="6"/>
        <v>4.75</v>
      </c>
      <c r="K61" s="75">
        <f t="shared" si="1"/>
        <v>533302.66850000003</v>
      </c>
      <c r="L61" s="74"/>
      <c r="M61" s="74"/>
    </row>
    <row r="62" spans="1:13" x14ac:dyDescent="0.25">
      <c r="A62" t="s">
        <v>9</v>
      </c>
      <c r="B62" t="s">
        <v>8</v>
      </c>
      <c r="C62" s="75">
        <v>197327820</v>
      </c>
      <c r="D62" s="76">
        <f>2.8-0.754</f>
        <v>2.0459999999999998</v>
      </c>
      <c r="E62" s="75">
        <f t="shared" si="0"/>
        <v>403732.71971999994</v>
      </c>
      <c r="F62" s="76">
        <v>0</v>
      </c>
      <c r="G62" s="75">
        <f t="shared" si="2"/>
        <v>0</v>
      </c>
      <c r="H62" s="76">
        <v>5.0000000000000001E-3</v>
      </c>
      <c r="I62" s="75">
        <f t="shared" si="3"/>
        <v>986.63909999999998</v>
      </c>
      <c r="J62" s="76">
        <v>2.8029999999999999</v>
      </c>
      <c r="K62" s="75">
        <f t="shared" si="1"/>
        <v>404719.35881999991</v>
      </c>
      <c r="L62" s="74"/>
      <c r="M62" s="74"/>
    </row>
    <row r="63" spans="1:13" x14ac:dyDescent="0.25">
      <c r="A63" t="s">
        <v>19</v>
      </c>
      <c r="B63" t="s">
        <v>20</v>
      </c>
      <c r="C63" s="75">
        <v>240716331</v>
      </c>
      <c r="D63" s="76">
        <v>1.5</v>
      </c>
      <c r="E63" s="75">
        <f t="shared" si="0"/>
        <v>361074.49650000001</v>
      </c>
      <c r="F63" s="76">
        <v>0</v>
      </c>
      <c r="G63" s="75">
        <f t="shared" si="2"/>
        <v>0</v>
      </c>
      <c r="H63" s="76">
        <v>0</v>
      </c>
      <c r="I63" s="75">
        <f t="shared" si="3"/>
        <v>0</v>
      </c>
      <c r="J63" s="76">
        <f t="shared" ref="J63:K74" si="7">D63+F63+H63</f>
        <v>1.5</v>
      </c>
      <c r="K63" s="75">
        <f t="shared" si="1"/>
        <v>361074.49650000001</v>
      </c>
      <c r="L63" s="74"/>
      <c r="M63" s="74"/>
    </row>
    <row r="64" spans="1:13" x14ac:dyDescent="0.25">
      <c r="A64" t="s">
        <v>127</v>
      </c>
      <c r="B64" t="s">
        <v>60</v>
      </c>
      <c r="C64" s="75">
        <v>454671260</v>
      </c>
      <c r="D64" s="76">
        <v>3.5</v>
      </c>
      <c r="E64" s="75">
        <f t="shared" si="0"/>
        <v>1591349.4100000001</v>
      </c>
      <c r="F64" s="76">
        <v>0</v>
      </c>
      <c r="G64" s="75">
        <f t="shared" si="2"/>
        <v>0</v>
      </c>
      <c r="H64" s="76">
        <v>3.0000000000000001E-3</v>
      </c>
      <c r="I64" s="75">
        <f t="shared" si="3"/>
        <v>1364.01378</v>
      </c>
      <c r="J64" s="76">
        <f t="shared" si="7"/>
        <v>3.5030000000000001</v>
      </c>
      <c r="K64" s="75">
        <f t="shared" si="1"/>
        <v>1592713.4237800001</v>
      </c>
      <c r="L64" s="74"/>
      <c r="M64" s="74"/>
    </row>
    <row r="65" spans="1:14" x14ac:dyDescent="0.25">
      <c r="A65" t="s">
        <v>30</v>
      </c>
      <c r="B65" t="s">
        <v>29</v>
      </c>
      <c r="C65" s="75">
        <v>408526530</v>
      </c>
      <c r="D65" s="76">
        <v>0.57299999999999995</v>
      </c>
      <c r="E65" s="75">
        <f t="shared" si="0"/>
        <v>234085.70168999999</v>
      </c>
      <c r="F65" s="76">
        <v>0</v>
      </c>
      <c r="G65" s="75">
        <f t="shared" si="2"/>
        <v>0</v>
      </c>
      <c r="H65" s="76">
        <v>4.0000000000000001E-3</v>
      </c>
      <c r="I65" s="75">
        <f t="shared" si="3"/>
        <v>1634.1061200000001</v>
      </c>
      <c r="J65" s="76">
        <f t="shared" si="7"/>
        <v>0.57699999999999996</v>
      </c>
      <c r="K65" s="75">
        <f t="shared" si="1"/>
        <v>235719.80781</v>
      </c>
      <c r="L65" s="74"/>
      <c r="M65" s="74"/>
    </row>
    <row r="66" spans="1:14" x14ac:dyDescent="0.25">
      <c r="A66" t="s">
        <v>114</v>
      </c>
      <c r="B66" t="s">
        <v>25</v>
      </c>
      <c r="C66" s="75">
        <v>1224240494</v>
      </c>
      <c r="D66" s="76">
        <v>3.4740000000000002</v>
      </c>
      <c r="E66" s="75">
        <f t="shared" si="0"/>
        <v>4253011.476156</v>
      </c>
      <c r="F66" s="76">
        <v>0</v>
      </c>
      <c r="G66" s="75">
        <f t="shared" si="2"/>
        <v>0</v>
      </c>
      <c r="H66" s="76">
        <v>0.02</v>
      </c>
      <c r="I66" s="75">
        <f t="shared" si="3"/>
        <v>24484.809880000001</v>
      </c>
      <c r="J66" s="76">
        <f t="shared" si="7"/>
        <v>3.4940000000000002</v>
      </c>
      <c r="K66" s="75">
        <f t="shared" si="1"/>
        <v>4277496.2860359997</v>
      </c>
      <c r="L66" s="74"/>
      <c r="M66" s="74"/>
    </row>
    <row r="67" spans="1:14" x14ac:dyDescent="0.25">
      <c r="A67" t="s">
        <v>149</v>
      </c>
      <c r="B67" t="s">
        <v>25</v>
      </c>
      <c r="C67" s="75">
        <v>42909420</v>
      </c>
      <c r="D67" s="76">
        <v>10.428000000000001</v>
      </c>
      <c r="E67" s="75">
        <f t="shared" si="0"/>
        <v>447459.43176000006</v>
      </c>
      <c r="F67" s="76">
        <v>0</v>
      </c>
      <c r="G67" s="75">
        <f t="shared" si="2"/>
        <v>0</v>
      </c>
      <c r="H67" s="76">
        <v>0</v>
      </c>
      <c r="I67" s="75">
        <f t="shared" si="3"/>
        <v>0</v>
      </c>
      <c r="J67" s="76">
        <f t="shared" si="7"/>
        <v>10.428000000000001</v>
      </c>
      <c r="K67" s="75">
        <f t="shared" si="1"/>
        <v>447459.43176000006</v>
      </c>
      <c r="L67" s="74"/>
      <c r="M67" s="74"/>
    </row>
    <row r="68" spans="1:14" x14ac:dyDescent="0.25">
      <c r="A68" t="s">
        <v>23</v>
      </c>
      <c r="B68" t="s">
        <v>22</v>
      </c>
      <c r="C68" s="75">
        <v>135746030</v>
      </c>
      <c r="D68" s="76">
        <v>1.125</v>
      </c>
      <c r="E68" s="75">
        <f t="shared" si="0"/>
        <v>152714.28375</v>
      </c>
      <c r="F68" s="76">
        <v>0</v>
      </c>
      <c r="G68" s="75">
        <f t="shared" si="2"/>
        <v>0</v>
      </c>
      <c r="H68" s="76">
        <v>0</v>
      </c>
      <c r="I68" s="75">
        <f t="shared" si="3"/>
        <v>0</v>
      </c>
      <c r="J68" s="76">
        <f t="shared" si="7"/>
        <v>1.125</v>
      </c>
      <c r="K68" s="75">
        <f t="shared" si="1"/>
        <v>152714.28375</v>
      </c>
      <c r="L68" s="74"/>
      <c r="M68" s="74"/>
    </row>
    <row r="69" spans="1:14" x14ac:dyDescent="0.25">
      <c r="A69" t="s">
        <v>129</v>
      </c>
      <c r="B69" t="s">
        <v>130</v>
      </c>
      <c r="C69" s="75">
        <v>287449540</v>
      </c>
      <c r="D69" s="76">
        <v>1.5</v>
      </c>
      <c r="E69" s="75">
        <f t="shared" ref="E69:E71" si="8">((D69/1000)*C69)</f>
        <v>431174.31</v>
      </c>
      <c r="F69" s="76">
        <v>0</v>
      </c>
      <c r="G69" s="75">
        <f t="shared" si="2"/>
        <v>0</v>
      </c>
      <c r="H69" s="76">
        <v>0</v>
      </c>
      <c r="I69" s="75">
        <f t="shared" si="3"/>
        <v>0</v>
      </c>
      <c r="J69" s="76">
        <f t="shared" si="7"/>
        <v>1.5</v>
      </c>
      <c r="K69" s="75">
        <f t="shared" si="7"/>
        <v>431174.31</v>
      </c>
      <c r="L69" s="74"/>
      <c r="M69" s="74"/>
    </row>
    <row r="70" spans="1:14" x14ac:dyDescent="0.25">
      <c r="A70" t="s">
        <v>97</v>
      </c>
      <c r="B70" t="s">
        <v>96</v>
      </c>
      <c r="C70" s="75">
        <v>120476501</v>
      </c>
      <c r="D70" s="76">
        <v>2.08</v>
      </c>
      <c r="E70" s="75">
        <f t="shared" si="8"/>
        <v>250591.12208000003</v>
      </c>
      <c r="F70" s="76">
        <v>2.02</v>
      </c>
      <c r="G70" s="75">
        <f t="shared" ref="G70:G74" si="9">C70*F70/1000</f>
        <v>243362.53202000001</v>
      </c>
      <c r="H70" s="76">
        <v>8.0000000000000002E-3</v>
      </c>
      <c r="I70" s="75">
        <f t="shared" si="3"/>
        <v>963.81200799999999</v>
      </c>
      <c r="J70" s="76">
        <f t="shared" si="7"/>
        <v>4.1079999999999997</v>
      </c>
      <c r="K70" s="75">
        <f t="shared" si="7"/>
        <v>494917.46610800002</v>
      </c>
      <c r="L70" s="74"/>
      <c r="M70" s="74"/>
    </row>
    <row r="71" spans="1:14" x14ac:dyDescent="0.25">
      <c r="A71" t="s">
        <v>26</v>
      </c>
      <c r="B71" t="s">
        <v>27</v>
      </c>
      <c r="C71" s="75">
        <v>3394635020</v>
      </c>
      <c r="D71" s="76">
        <v>0.70699999999999996</v>
      </c>
      <c r="E71" s="75">
        <f t="shared" si="8"/>
        <v>2400006.9591399999</v>
      </c>
      <c r="F71" s="76">
        <v>0</v>
      </c>
      <c r="G71" s="75">
        <f t="shared" si="9"/>
        <v>0</v>
      </c>
      <c r="H71" s="76">
        <v>0</v>
      </c>
      <c r="I71" s="75">
        <f t="shared" si="3"/>
        <v>0</v>
      </c>
      <c r="J71" s="76">
        <f t="shared" si="7"/>
        <v>0.70699999999999996</v>
      </c>
      <c r="K71" s="75">
        <f t="shared" si="7"/>
        <v>2400006.9591399999</v>
      </c>
      <c r="L71" s="74"/>
      <c r="M71" s="74"/>
    </row>
    <row r="72" spans="1:14" x14ac:dyDescent="0.25">
      <c r="A72" t="s">
        <v>52</v>
      </c>
      <c r="B72" t="s">
        <v>53</v>
      </c>
      <c r="C72" s="75">
        <v>596208640</v>
      </c>
      <c r="D72" s="76">
        <v>1.5</v>
      </c>
      <c r="E72" s="75">
        <f>((D72/1000)*C72)</f>
        <v>894312.95999999996</v>
      </c>
      <c r="F72" s="76">
        <v>0</v>
      </c>
      <c r="G72" s="75">
        <f t="shared" si="9"/>
        <v>0</v>
      </c>
      <c r="H72" s="76">
        <v>4.0000000000000001E-3</v>
      </c>
      <c r="I72" s="75">
        <f t="shared" ref="I72:I74" si="10">C72*H72/1000</f>
        <v>2384.8345600000002</v>
      </c>
      <c r="J72" s="76">
        <f>D72+F72+H72</f>
        <v>1.504</v>
      </c>
      <c r="K72" s="75">
        <f t="shared" si="7"/>
        <v>896697.79455999995</v>
      </c>
      <c r="L72" s="74"/>
      <c r="M72" s="74"/>
    </row>
    <row r="73" spans="1:14" x14ac:dyDescent="0.25">
      <c r="A73" t="s">
        <v>69</v>
      </c>
      <c r="B73" t="s">
        <v>70</v>
      </c>
      <c r="C73" s="75">
        <v>149167100</v>
      </c>
      <c r="D73" s="76">
        <v>7.9080000000000004</v>
      </c>
      <c r="E73" s="75">
        <f>((D73/1000)*C73)</f>
        <v>1179613.4268</v>
      </c>
      <c r="F73" s="76">
        <v>0</v>
      </c>
      <c r="G73" s="75">
        <f t="shared" si="9"/>
        <v>0</v>
      </c>
      <c r="H73" s="76">
        <v>0</v>
      </c>
      <c r="I73" s="75">
        <f t="shared" si="10"/>
        <v>0</v>
      </c>
      <c r="J73" s="76">
        <f>D73+F73+H73</f>
        <v>7.9080000000000004</v>
      </c>
      <c r="K73" s="75">
        <f t="shared" si="7"/>
        <v>1179613.4268</v>
      </c>
      <c r="L73" s="74"/>
      <c r="M73" s="74"/>
    </row>
    <row r="74" spans="1:14" x14ac:dyDescent="0.25">
      <c r="A74" t="s">
        <v>24</v>
      </c>
      <c r="B74" t="s">
        <v>22</v>
      </c>
      <c r="C74" s="75">
        <v>149868340</v>
      </c>
      <c r="D74" s="76">
        <v>1.7110000000000001</v>
      </c>
      <c r="E74" s="75">
        <f>((D74/1000)*C74)</f>
        <v>256424.72974000001</v>
      </c>
      <c r="F74" s="76">
        <v>0</v>
      </c>
      <c r="G74" s="75">
        <f t="shared" si="9"/>
        <v>0</v>
      </c>
      <c r="H74" s="76">
        <v>0</v>
      </c>
      <c r="I74" s="75">
        <f t="shared" si="10"/>
        <v>0</v>
      </c>
      <c r="J74" s="76">
        <f>D74+F74+H74</f>
        <v>1.7110000000000001</v>
      </c>
      <c r="K74" s="75">
        <f t="shared" si="7"/>
        <v>256424.72974000001</v>
      </c>
      <c r="L74" s="74"/>
      <c r="M74" s="74"/>
    </row>
    <row r="75" spans="1:14" x14ac:dyDescent="0.25"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</row>
    <row r="76" spans="1:14" x14ac:dyDescent="0.25">
      <c r="C76"/>
      <c r="D76"/>
      <c r="E76"/>
      <c r="F76"/>
      <c r="G76"/>
      <c r="H76"/>
      <c r="I76"/>
      <c r="J76"/>
      <c r="K76"/>
    </row>
    <row r="77" spans="1:14" x14ac:dyDescent="0.25">
      <c r="C77"/>
      <c r="D77"/>
      <c r="F77"/>
      <c r="G77"/>
      <c r="H77"/>
      <c r="I77"/>
      <c r="J77"/>
      <c r="K77"/>
    </row>
    <row r="78" spans="1:14" x14ac:dyDescent="0.25">
      <c r="D78" s="12"/>
      <c r="E78" s="13"/>
    </row>
    <row r="79" spans="1:14" x14ac:dyDescent="0.25">
      <c r="A79" t="s">
        <v>146</v>
      </c>
      <c r="C79" s="2"/>
      <c r="E79" s="78"/>
    </row>
    <row r="80" spans="1:14" s="1" customFormat="1" x14ac:dyDescent="0.25">
      <c r="A80"/>
      <c r="B80" s="21"/>
      <c r="C80" s="8"/>
      <c r="E80" s="78"/>
      <c r="G80" s="8"/>
      <c r="I80" s="8"/>
      <c r="K80" s="11"/>
      <c r="L80"/>
      <c r="M80"/>
      <c r="N80"/>
    </row>
    <row r="81" spans="1:14" s="1" customFormat="1" x14ac:dyDescent="0.25">
      <c r="A81"/>
      <c r="B81"/>
      <c r="C81" s="8"/>
      <c r="E81" s="78"/>
      <c r="G81" s="8"/>
      <c r="I81" s="8"/>
      <c r="K81" s="11"/>
      <c r="L81"/>
      <c r="M81"/>
      <c r="N81"/>
    </row>
    <row r="82" spans="1:14" s="1" customFormat="1" x14ac:dyDescent="0.25">
      <c r="B82" s="2"/>
      <c r="C82" s="8"/>
      <c r="E82" s="78"/>
      <c r="G82" s="8"/>
      <c r="I82" s="8"/>
      <c r="K82" s="11"/>
      <c r="L82"/>
      <c r="M82"/>
      <c r="N82"/>
    </row>
    <row r="83" spans="1:14" s="1" customFormat="1" x14ac:dyDescent="0.25">
      <c r="A83"/>
      <c r="B83"/>
      <c r="C83" s="8"/>
      <c r="E83" s="78"/>
      <c r="G83" s="8"/>
      <c r="I83" s="8"/>
      <c r="K83" s="11"/>
      <c r="L83"/>
      <c r="M83"/>
      <c r="N83"/>
    </row>
  </sheetData>
  <mergeCells count="6">
    <mergeCell ref="A1:C1"/>
    <mergeCell ref="D3:E3"/>
    <mergeCell ref="F3:G3"/>
    <mergeCell ref="H3:I3"/>
    <mergeCell ref="J3:K3"/>
    <mergeCell ref="D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'2016'!Print_Titles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archuleta_j</dc:creator>
  <cp:lastModifiedBy>Petersen, Dana</cp:lastModifiedBy>
  <cp:lastPrinted>2015-02-03T18:56:59Z</cp:lastPrinted>
  <dcterms:created xsi:type="dcterms:W3CDTF">2009-06-24T14:36:17Z</dcterms:created>
  <dcterms:modified xsi:type="dcterms:W3CDTF">2026-01-15T02:55:42Z</dcterms:modified>
</cp:coreProperties>
</file>